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ADEP\Documents\"/>
    </mc:Choice>
  </mc:AlternateContent>
  <xr:revisionPtr revIDLastSave="0" documentId="8_{A7BFF4B8-F60F-4E0F-B274-B9318E47C4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uadro de Mando Seg 3 Trimestre" sheetId="9" r:id="rId1"/>
  </sheets>
  <externalReferences>
    <externalReference r:id="rId2"/>
  </externalReferences>
  <definedNames>
    <definedName name="_xlnm._FilterDatabase" localSheetId="0" hidden="1">'Cuadro de Mando Seg 3 Trimestre'!$A$2:$AC$44</definedName>
    <definedName name="APLICACIÓN">'[1]Listas Nuevas'!$R$2:$R$4</definedName>
    <definedName name="_xlnm.Print_Area" localSheetId="0">'Cuadro de Mando Seg 3 Trimestre'!$A$1:$AC$44</definedName>
    <definedName name="CID">'[1]Listas Nuevas'!$AM$3:$AM$9</definedName>
    <definedName name="Contexto_Externo">'[1]Listas Nuevas'!$A$2:$A$8</definedName>
    <definedName name="Contexto_Interno">'[1]Listas Nuevas'!$B$2:$B$7</definedName>
    <definedName name="Contexto_Proceso">'[1]Listas Nuevas'!$C$2:$C$8</definedName>
    <definedName name="Control_Existente">[1]Listas!$F$3:$F$5</definedName>
    <definedName name="EJECUCIÓN">'[1]Listas Nuevas'!$T$2:$T$4</definedName>
    <definedName name="FRECUENCIA">'[1]Listas Nuevas'!$L$2:$L$6</definedName>
    <definedName name="PROCESO">'[1]Listas Nuevas'!$AR$3:$AR$23</definedName>
    <definedName name="Riesgo_de_Corrupción">'[1]Listas Nuevas'!$H$10:$J$10</definedName>
    <definedName name="Riesgo_General">'[1]Listas Nuevas'!$F$11:$J$11</definedName>
    <definedName name="TIPO_CONTROL">'[1]Listas Nuevas'!$P$2:$P$3</definedName>
    <definedName name="TIPO_RIESGO">'[1]Listas Nuevas'!#REF!</definedName>
    <definedName name="TIPOLOGÍA">'[1]Listas Nuevas'!$E$2:$E$11</definedName>
    <definedName name="_xlnm.Print_Titles" localSheetId="0">'Cuadro de Mando Seg 3 Trimestre'!$1:$2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9" l="1"/>
  <c r="Q4" i="9"/>
  <c r="Q28" i="9"/>
  <c r="Q27" i="9"/>
  <c r="Q26" i="9"/>
  <c r="Q24" i="9"/>
  <c r="Q25" i="9"/>
  <c r="R24" i="9"/>
  <c r="Q40" i="9"/>
  <c r="Q7" i="9"/>
  <c r="Q41" i="9"/>
  <c r="Q32" i="9"/>
  <c r="Q31" i="9"/>
  <c r="Q30" i="9"/>
  <c r="Q29" i="9"/>
  <c r="Q6" i="9" l="1"/>
  <c r="Q42" i="9" l="1"/>
  <c r="Q39" i="9"/>
  <c r="Q38" i="9"/>
  <c r="Q37" i="9"/>
  <c r="Q36" i="9"/>
  <c r="Q35" i="9"/>
  <c r="Q34" i="9"/>
  <c r="Q33" i="9"/>
  <c r="Q10" i="9"/>
  <c r="Q9" i="9"/>
  <c r="Q8" i="9"/>
  <c r="Q23" i="9" l="1"/>
  <c r="Q22" i="9"/>
  <c r="Q21" i="9"/>
  <c r="Q20" i="9"/>
  <c r="Q19" i="9"/>
  <c r="Q18" i="9"/>
  <c r="Q17" i="9"/>
  <c r="Q16" i="9"/>
  <c r="Q15" i="9"/>
  <c r="P14" i="9" l="1"/>
  <c r="Q14" i="9" s="1"/>
  <c r="P13" i="9"/>
  <c r="Q13" i="9" s="1"/>
  <c r="Q12" i="9"/>
  <c r="I6" i="9" l="1"/>
  <c r="M6" i="9"/>
  <c r="M40" i="9" l="1"/>
  <c r="M5" i="9"/>
  <c r="M32" i="9" l="1"/>
  <c r="I32" i="9"/>
  <c r="M31" i="9" l="1"/>
  <c r="M28" i="9" l="1"/>
  <c r="M4" i="9"/>
  <c r="M8" i="9" l="1"/>
  <c r="M7" i="9" l="1"/>
  <c r="I7" i="9"/>
  <c r="M30" i="9" l="1"/>
  <c r="I39" i="9" l="1"/>
  <c r="M39" i="9"/>
  <c r="M41" i="9" l="1"/>
  <c r="M42" i="9"/>
  <c r="M38" i="9"/>
  <c r="M37" i="9"/>
  <c r="M36" i="9"/>
  <c r="M35" i="9"/>
  <c r="M34" i="9"/>
  <c r="M33" i="9"/>
  <c r="M10" i="9"/>
  <c r="M9" i="9"/>
  <c r="M23" i="9" l="1"/>
  <c r="M22" i="9"/>
  <c r="M21" i="9"/>
  <c r="M20" i="9"/>
  <c r="M19" i="9"/>
  <c r="M18" i="9"/>
  <c r="M17" i="9"/>
  <c r="M16" i="9"/>
  <c r="M15" i="9"/>
  <c r="M27" i="9" l="1"/>
  <c r="M26" i="9"/>
  <c r="M25" i="9"/>
  <c r="M24" i="9"/>
  <c r="M14" i="9" l="1"/>
  <c r="M13" i="9"/>
  <c r="I13" i="9"/>
  <c r="M12" i="9" l="1"/>
  <c r="L11" i="9"/>
  <c r="I11" i="9"/>
  <c r="L13" i="9"/>
  <c r="M11" i="9" l="1"/>
  <c r="P11" i="9"/>
  <c r="Q11" i="9" s="1"/>
  <c r="Q3" i="9" s="1"/>
  <c r="Q43" i="9" s="1"/>
  <c r="N42" i="9"/>
  <c r="N37" i="9"/>
  <c r="N33" i="9"/>
  <c r="M29" i="9"/>
  <c r="M3" i="9" s="1"/>
  <c r="N28" i="9"/>
  <c r="N24" i="9"/>
  <c r="N15" i="9"/>
  <c r="N8" i="9"/>
  <c r="U43" i="9"/>
  <c r="V42" i="9"/>
  <c r="R42" i="9"/>
  <c r="I42" i="9"/>
  <c r="J42" i="9" s="1"/>
  <c r="V41" i="9"/>
  <c r="R41" i="9"/>
  <c r="N41" i="9"/>
  <c r="I41" i="9"/>
  <c r="J41" i="9" s="1"/>
  <c r="V40" i="9"/>
  <c r="R40" i="9"/>
  <c r="N40" i="9"/>
  <c r="I40" i="9"/>
  <c r="J40" i="9" s="1"/>
  <c r="I38" i="9"/>
  <c r="V37" i="9"/>
  <c r="R37" i="9"/>
  <c r="I37" i="9"/>
  <c r="I36" i="9"/>
  <c r="V35" i="9"/>
  <c r="R35" i="9"/>
  <c r="N35" i="9"/>
  <c r="J35" i="9"/>
  <c r="I34" i="9"/>
  <c r="V33" i="9"/>
  <c r="R33" i="9"/>
  <c r="I33" i="9"/>
  <c r="J33" i="9" s="1"/>
  <c r="I31" i="9"/>
  <c r="I30" i="9"/>
  <c r="I29" i="9"/>
  <c r="V28" i="9"/>
  <c r="R28" i="9"/>
  <c r="I28" i="9"/>
  <c r="I27" i="9"/>
  <c r="I26" i="9"/>
  <c r="I25" i="9"/>
  <c r="V24" i="9"/>
  <c r="I24" i="9"/>
  <c r="J24" i="9" s="1"/>
  <c r="I23" i="9"/>
  <c r="V22" i="9"/>
  <c r="R22" i="9"/>
  <c r="N22" i="9"/>
  <c r="I22" i="9"/>
  <c r="I21" i="9"/>
  <c r="I20" i="9"/>
  <c r="I19" i="9"/>
  <c r="I18" i="9"/>
  <c r="I17" i="9"/>
  <c r="I16" i="9"/>
  <c r="V15" i="9"/>
  <c r="R15" i="9"/>
  <c r="I15" i="9"/>
  <c r="V13" i="9"/>
  <c r="R13" i="9"/>
  <c r="N13" i="9"/>
  <c r="J13" i="9"/>
  <c r="I12" i="9"/>
  <c r="V11" i="9"/>
  <c r="R11" i="9"/>
  <c r="N11" i="9"/>
  <c r="J11" i="9"/>
  <c r="I10" i="9"/>
  <c r="I9" i="9"/>
  <c r="V8" i="9"/>
  <c r="R8" i="9"/>
  <c r="I8" i="9"/>
  <c r="I5" i="9"/>
  <c r="I4" i="9"/>
  <c r="V3" i="9"/>
  <c r="R3" i="9" l="1"/>
  <c r="I3" i="9"/>
  <c r="J15" i="9"/>
  <c r="J22" i="9"/>
  <c r="J8" i="9"/>
  <c r="J37" i="9"/>
  <c r="J28" i="9"/>
  <c r="V43" i="9"/>
  <c r="R43" i="9"/>
  <c r="N3" i="9"/>
  <c r="N43" i="9" s="1"/>
  <c r="M43" i="9"/>
  <c r="I43" i="9"/>
  <c r="J3" i="9"/>
  <c r="J43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Fernando Arango Vargas</author>
  </authors>
  <commentList>
    <comment ref="D2" authorId="0" shapeId="0" xr:uid="{633421C5-B651-4EF6-941A-A1C2D59382C0}">
      <text>
        <r>
          <rPr>
            <sz val="9"/>
            <color indexed="81"/>
            <rFont val="Tahoma"/>
            <family val="2"/>
          </rPr>
          <t>Corresponde al líder del proceso</t>
        </r>
      </text>
    </comment>
  </commentList>
</comments>
</file>

<file path=xl/sharedStrings.xml><?xml version="1.0" encoding="utf-8"?>
<sst xmlns="http://schemas.openxmlformats.org/spreadsheetml/2006/main" count="532" uniqueCount="269">
  <si>
    <r>
      <t xml:space="preserve">Cuadro de Mando Indicadores 2022
</t>
    </r>
    <r>
      <rPr>
        <b/>
        <sz val="14"/>
        <color theme="0"/>
        <rFont val="Trebuchet MS"/>
        <family val="2"/>
      </rPr>
      <t>Departamento Administrativo de la Defensoría del Espacio Público - DADEP</t>
    </r>
  </si>
  <si>
    <t>Meta
2022</t>
  </si>
  <si>
    <t>Seguimiento Trimestral 2022</t>
  </si>
  <si>
    <t>Objetivo Estratégico
2020-2024</t>
  </si>
  <si>
    <t>Tipo</t>
  </si>
  <si>
    <t>Responsable del reporte</t>
  </si>
  <si>
    <t>Cod</t>
  </si>
  <si>
    <t>Indicador</t>
  </si>
  <si>
    <t>ENE-MAR</t>
  </si>
  <si>
    <t>ABR-JUN</t>
  </si>
  <si>
    <t>JUL-SEP</t>
  </si>
  <si>
    <t>OCT-DIC</t>
  </si>
  <si>
    <t>Origen</t>
  </si>
  <si>
    <t>Meta PPD
2020-2024</t>
  </si>
  <si>
    <t>Cálculo</t>
  </si>
  <si>
    <t>Frecuencia</t>
  </si>
  <si>
    <t>4.Fortalecer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</si>
  <si>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I. PROCESOS ESTRATÉGICOS</t>
  </si>
  <si>
    <t>1. Direccionamiento Estratégico</t>
  </si>
  <si>
    <t>Jefe Oficina Asesora de Planeación</t>
  </si>
  <si>
    <t>Porcentaje de Avance de la Gestión de la Entidad</t>
  </si>
  <si>
    <t>Gestión</t>
  </si>
  <si>
    <t>No aplica</t>
  </si>
  <si>
    <t>Constante</t>
  </si>
  <si>
    <t>Eficiencia</t>
  </si>
  <si>
    <t>Trimestral</t>
  </si>
  <si>
    <t>Creciente</t>
  </si>
  <si>
    <t>Sumatoria de ((Porcentaje de avance por componente * (Número de actividades por componente / Número total de actividades del plan))</t>
  </si>
  <si>
    <t>Eficacia</t>
  </si>
  <si>
    <t>3.Mejorar la coordinación interinstitucional con todas las entidades que tienen competencia en materia de espacio público, así como la comunicación con los grupos de interés y de valor.</t>
  </si>
  <si>
    <t>Porcentaje de Acciones Desarrolladas Incluidas En El PAAC</t>
  </si>
  <si>
    <t>Cuatrimestral</t>
  </si>
  <si>
    <t>Porcentaje de documentación actualizada en la web relacionada con la Ley de Transparencia</t>
  </si>
  <si>
    <t>Comunicaciones</t>
  </si>
  <si>
    <t>Porcentaje de interacciones entre los seguidores y el contenido de la página.</t>
  </si>
  <si>
    <t>100%
(Crecimiento Anual 60% y mensual del 5%)</t>
  </si>
  <si>
    <t>2. Atención a la Ciudadanía</t>
  </si>
  <si>
    <t>Subdirectora Administrativa, Financiera y de Control Disciplinario -SAF</t>
  </si>
  <si>
    <t>Oportunidad de las respuestas a las peticiones ciudadanos en los términos de ley - Sistema Distrital para la gestión de peticiones ciudadanas -Bogotá te Escucha</t>
  </si>
  <si>
    <t>Percepción De Los Ciudadanos Acerca De La Atención Recibida En Los Módulos</t>
  </si>
  <si>
    <t>Efectividad</t>
  </si>
  <si>
    <t>Satisfacción De Los Ciudadanos Respecto De Las Respuestas Emitidas</t>
  </si>
  <si>
    <t>1. Contribuir al incremento del uso, goce y disfrute del patrimonio inmobiliario distrital y el espacio público, con acceso universal a la ciudadanía.</t>
  </si>
  <si>
    <t>3. Administración y gestión del Observatorio y la Política de Espacio Público</t>
  </si>
  <si>
    <t>Subdirector de Registro Inmobiliario - SRI</t>
  </si>
  <si>
    <t>Documentos de Investigación derivados De La Batería De Indicadores De La Política Pública Distrital De Espacio Público Y El Observatorio De Espacio Público</t>
  </si>
  <si>
    <t>Número de documentos de Investigación derivados De La Batería De Indicadores De La Política Pública Distrital De Espacio Público Y El Observatorio De Espacio Público</t>
  </si>
  <si>
    <t>Porcentaje de acciones realizadas de la política pública de espacio público.</t>
  </si>
  <si>
    <t>2.Aumentar  la oferta cuantitativa, cualitativa y la equidad territorial del patrimonio inmobiliario distrital y el espacio público.</t>
  </si>
  <si>
    <t>II. PROCESOS MISIONALES</t>
  </si>
  <si>
    <t>4. Inventario General de Espacio Público y Bienes Fiscales</t>
  </si>
  <si>
    <t>Metros cuadrados recibos de zonas de cesión al Distrito Capital.</t>
  </si>
  <si>
    <t>Este es un indicador presentado por urbanizadores y constructores.</t>
  </si>
  <si>
    <t>Suma de los metros cuadrados  de recibos de las zonas de cesión al Distrito Capital.</t>
  </si>
  <si>
    <t>Predios de uso público con metodología de valoración contable.</t>
  </si>
  <si>
    <t>Suma de  predios de uso público con  metodología de valoración contable</t>
  </si>
  <si>
    <t>Semestral</t>
  </si>
  <si>
    <t>1.Contribuir al incremento del uso, goce y disfrute del patrimonio inmobiliario distrital y el espacio público, con acceso universal a la ciudadanía.</t>
  </si>
  <si>
    <t>5. Administración del  Patrimonio Inmobiliario Distrital</t>
  </si>
  <si>
    <t>Subdirector de Administración Inmobiliaria - SAI</t>
  </si>
  <si>
    <t>Porcentaje de Bienes de Uso Público y Fiscal entregados en administración</t>
  </si>
  <si>
    <t>Porcentaje de activaciones urbanas para incrementar la participación y apropiación del espacio público</t>
  </si>
  <si>
    <t>Porcentaje de APP tramitadas.</t>
  </si>
  <si>
    <t>Porcentaje de DEMOS tramitados.</t>
  </si>
  <si>
    <t>Porcentaje Bienes Fiscales enajenados.</t>
  </si>
  <si>
    <t>Porcentaje de informes de supervisión presentados y revisados de bienes fiscales</t>
  </si>
  <si>
    <t>6. Defensa del  Patrimonio Inmobiliario Distrital</t>
  </si>
  <si>
    <t>Porcentaje de diagnósticos elaborados del Patrimonio Inmobiliario Distrital administrado a Cargo del DADEP</t>
  </si>
  <si>
    <t>Diagnósticos elaborados o actualizados / Diagnósticos programados o requeridos</t>
  </si>
  <si>
    <t>Porcentaje de metros cuadrados de espacio público recuperado</t>
  </si>
  <si>
    <t>Número de metros cuadrados recuperados / Número de metros cuadrados programados</t>
  </si>
  <si>
    <t>III. PROCESOS DE SOPORTE</t>
  </si>
  <si>
    <t>7. Gestión de la Tecnología y la Información</t>
  </si>
  <si>
    <t>Jefe Oficina de Sistemas -  OS</t>
  </si>
  <si>
    <t>Porcentaje de Cumplimiento Hitos Claves</t>
  </si>
  <si>
    <t>(Hitos Cumplidos / Hitos Planeados) * 100</t>
  </si>
  <si>
    <t>Porcentaje de Desarrollos Informáticos Adquiridos o Actualizado</t>
  </si>
  <si>
    <t>(Desarrollos Informáticos Adquiridos o Actualizados / Desarrollo Informáticos Programados) * 100</t>
  </si>
  <si>
    <t>Porcentaje de solicitudes de los usuarios, registradas y resueltas</t>
  </si>
  <si>
    <t>(Número de solicitudes de los usuarios, registradas y resueltas / Número de solicitudes realizadas) * 100</t>
  </si>
  <si>
    <t>Porcentaje de Información y documentos disponibles y protegidos (Back-Up)</t>
  </si>
  <si>
    <t>(Número de Información y documentos disponibles y protegidos (Back-Up) / Número de Información y documentos) * 100</t>
  </si>
  <si>
    <t>8. Gestión Jurídica</t>
  </si>
  <si>
    <t>Jefe Oficina Asesora Jurídica - OAJ</t>
  </si>
  <si>
    <t>Porcentaje de Conciliaciones Analizadas</t>
  </si>
  <si>
    <t>(Número de solicitudes de conciliación analizadas en el Comité de Conciliación / Número de solicitudes de conciliación) * 100%</t>
  </si>
  <si>
    <t>Porcentaje de Informes de seguimiento Judicial Presentados</t>
  </si>
  <si>
    <t>(Número de informes de seguimiento de los procesos judiciales presentados en el periodo/Número de procesos judiciales asignados a los abogados) * 100</t>
  </si>
  <si>
    <t>Porcentaje respuesta oportuna de las acciones de tutela notificadas a la Oficina Asesora Jurídica</t>
  </si>
  <si>
    <t>(Número de Acciones de Tutela contestadas en el término dado por el Despacho Judicial /  Número de Acciones de Tutela notificadas a la OAJ) * 100</t>
  </si>
  <si>
    <t>Promedio de Contratos de prestación de servicio y de apoyo a la gestión  que cumplieron el promedio de días establecidos de suscripción</t>
  </si>
  <si>
    <t>(Número de contratos de prestación de servicios y de apoyo a la gestión suscritos en el promedio de días establecido / Número de contratos suscritos en el periodo)</t>
  </si>
  <si>
    <t>Porcentaje de procesos de selección gestionados</t>
  </si>
  <si>
    <t>(Número de procesos adjudicados + declarados desiertos + aceptación de oferta + no aceptación de oferta / Número de solicitudes de contratación por proceso de selección) * 100</t>
  </si>
  <si>
    <t>9. Gestión de Talento Humano</t>
  </si>
  <si>
    <t>Porcentaje de cumplimiento de  las actividades propuestas  en el Plan Estratégico de TH - PETH</t>
  </si>
  <si>
    <t>(Sumatoria de avance de los que componen el Plan Estratégico de TH ejecutados / Sumatoria del porcentaje de avance programado de cada uno de los planes) * 100</t>
  </si>
  <si>
    <t>Porcentaje de cumplimiento del Plan de Trabajo del SG_SST</t>
  </si>
  <si>
    <t>10. Gestión Documental</t>
  </si>
  <si>
    <t>Porcentaje de Transferencias documentales primarias legalizadas</t>
  </si>
  <si>
    <t xml:space="preserve">Porcentaje de actividades realizadas del PINAR </t>
  </si>
  <si>
    <t>11. Gestión de Recursos</t>
  </si>
  <si>
    <t>Porcentaje De Ejecución Presupuestal</t>
  </si>
  <si>
    <t>Porcentaje de avance del Plan de Gestión Ambiental de la entidad</t>
  </si>
  <si>
    <t>Porcentaje de generación de registro contable de la propiedad inmobiliaria del Distrito con valoración contable.</t>
  </si>
  <si>
    <t>IV. PROCESOS DE VERIFICACIÓN Y MEJORA</t>
  </si>
  <si>
    <t>12. Evaluación y Control</t>
  </si>
  <si>
    <t>Jefe Oficina de Control Interno OCI</t>
  </si>
  <si>
    <t>Porcentaje de cumplimiento del Plan Anual de Auditorías</t>
  </si>
  <si>
    <t>13. Verificación y Mejoramiento Continuo</t>
  </si>
  <si>
    <t>Jefe Oficina Asesora de Planeación - OAP</t>
  </si>
  <si>
    <t>Monitoreo a las acciones del plan de mejoramiento institucional en el CPM</t>
  </si>
  <si>
    <t>14. Control Interno Disciplinario</t>
  </si>
  <si>
    <t>Mensual</t>
  </si>
  <si>
    <t>Elaborado:</t>
  </si>
  <si>
    <t>Alexander Oliveros Paredes - Contratistas OAP</t>
  </si>
  <si>
    <t>01 de Enero de 2022</t>
  </si>
  <si>
    <t>Revisado:</t>
  </si>
  <si>
    <t>Luis Fernando Arango - Profesional OAP</t>
  </si>
  <si>
    <t>Aprobado:</t>
  </si>
  <si>
    <t>Diana María Camargo Pulido - Jefe Oficina Asesora de Planeación.</t>
  </si>
  <si>
    <t>Avance 1T Meta</t>
  </si>
  <si>
    <t>Avance 1T Proceso</t>
  </si>
  <si>
    <t>Avance 2T Meta</t>
  </si>
  <si>
    <t>Avance 2T Proceso</t>
  </si>
  <si>
    <t>Avance 3T Meta</t>
  </si>
  <si>
    <t>Avance 3T Proceso</t>
  </si>
  <si>
    <t>Avance 4T Meta</t>
  </si>
  <si>
    <t>Avance 4T Proceso</t>
  </si>
  <si>
    <t>(Sumatoria de los porcentajes de avance de las meta por periodo / # total de metas evaluadas) * 100%</t>
  </si>
  <si>
    <t>(34%*(7/20))+(33%*(2/20))+(21,3%*(4/20))+(25%*(5/20))+(12%*(2/20)) = 26,9%</t>
  </si>
  <si>
    <t>(12/21)*100% = 57,14%</t>
  </si>
  <si>
    <t>(N° de documentos o información existente de ley de transparencia en la web / No. de documentos o información requeridos por la ley de transparencia en la web) * 100%</t>
  </si>
  <si>
    <t>Engagement (Porcentaje del nivel de interacción de las publicaciones institucionales, obtenido del  sistema de métricas obtenida de las redes sociales Facebook, Twitter e Instagram.) / Meta de crecimiento para el periodo * 100%</t>
  </si>
  <si>
    <t xml:space="preserve">(1067/1068)*100% = 99.91%
</t>
  </si>
  <si>
    <t>(N° de derechos de petición contestados dentro de los términos legales/ N° derechos de petición asignados) * 100%</t>
  </si>
  <si>
    <t>(40/40)*100% =100%</t>
  </si>
  <si>
    <t>Número total de preguntas de percepción o de satisfacción respondidas por los ciudadanos diligenciadas con nivel excelente / Número total de preguntas de percepción o de satisfacción respondidas por los ciudadano en el periodo) * 100%</t>
  </si>
  <si>
    <t>(77/80)*100% =96,25%</t>
  </si>
  <si>
    <t>(0,61/7) * 100% = 8,7%</t>
  </si>
  <si>
    <t>(Número de acciones realizadas / Número de acciones programadas) x 100%</t>
  </si>
  <si>
    <t>Base 239.682 M2 2021 recibidos</t>
  </si>
  <si>
    <t>No aplica para este periodo de medición</t>
  </si>
  <si>
    <t>Base 223 de 2021</t>
  </si>
  <si>
    <t>(11/79)*100% = 13,92%</t>
  </si>
  <si>
    <t>(Bienes de uso público y fiscal entregados / Bienes de uso Público y fiscal tramitados) * 100%</t>
  </si>
  <si>
    <t>(0/4)*100% = 0%</t>
  </si>
  <si>
    <t>(Número de activaciones urbanas ejecutadas / Número de activaciones urbanas programadas) * 100%</t>
  </si>
  <si>
    <t>OK continua</t>
  </si>
  <si>
    <t>ADM</t>
  </si>
  <si>
    <t>(0/0)*100% = 0% (a demanda) = 100%</t>
  </si>
  <si>
    <t>Este es un indicador a demanda</t>
  </si>
  <si>
    <t>(Número de APP tramitadas / Número de APP solicitadas) * 100%</t>
  </si>
  <si>
    <t>(1/1)*100% = 100%</t>
  </si>
  <si>
    <t>(Número de DEMOS tramitados / Número de DEMOS solicitados) * 100%</t>
  </si>
  <si>
    <t>(Número de bienes enajenados / Número de bienes ofertados para la enajenación) * 100%</t>
  </si>
  <si>
    <t>(0/0)*100% = 0% = 100%</t>
  </si>
  <si>
    <t>(Número de informes presentados y revisados de bienes fiscales / Número de contratos vigentes obligados a presentar informe de ejecución de bienes fiscales) / * 100%</t>
  </si>
  <si>
    <t>(197/1120)*100% = 17,59%</t>
  </si>
  <si>
    <t>(65938,34/200000)*100% = 32,97%</t>
  </si>
  <si>
    <t>(4/4)*100% = 100%</t>
  </si>
  <si>
    <t>(0,4979/1)*100% = 50%</t>
  </si>
  <si>
    <t>(2046/2071)*100% = 98,79%</t>
  </si>
  <si>
    <t>(300/300)*100% = 100%</t>
  </si>
  <si>
    <t>(24/24)*100% = 100%</t>
  </si>
  <si>
    <t>(220/339)*100% = 64,9%</t>
  </si>
  <si>
    <t>(33%/100)*100=33%</t>
  </si>
  <si>
    <t>La sumatoria del avance de los 6 planes que corresponden al Plan Estratégico de Talento Humano es del 33%</t>
  </si>
  <si>
    <t>(38/52)*100%= 73,08%</t>
  </si>
  <si>
    <t xml:space="preserve">(Actividades ejecutadas / Actividades Propuestas) * 100 </t>
  </si>
  <si>
    <t>De acuerdo con el cronograma establecido en el PINAR, esta actividad se programó para iniciar el mes de abril.</t>
  </si>
  <si>
    <t xml:space="preserve">(No. De transferencias documentales primarias  entregadas de acuerdo al cronograma / No. De dependencias programadas) * 100% </t>
  </si>
  <si>
    <t>(710% /25) *100% = 28,4%</t>
  </si>
  <si>
    <t>(Sumatoria del porcentaje de las actividades ejecutadas / No. Actividades programadas del PINAR) * 100%</t>
  </si>
  <si>
    <t>(22.876.798.368 / 38.865.190.000) * 100%  = 58,86 %</t>
  </si>
  <si>
    <t>(Valor de compromisos / Presupuesto total asignado a la entidad (con sus modificaciones)) * 100%</t>
  </si>
  <si>
    <t xml:space="preserve"> (10%+3.5%+3.5%+3.5%+5%)/ (40%+15%+15%+15%+15%) * 100 
=(25,5/100) *100%
=25.5%</t>
  </si>
  <si>
    <t>El peso asignado a los planes es: 
PIGA: 40%
PAI: 15%
RESPEL: 15%
PIMs: 15% y
PACA: 15%</t>
  </si>
  <si>
    <t>(Sumatoria de avance de los Planes de Gestión Ambiental ejecutados / Sumatoria del porcentaje de avance programado de cada uno de los planes) * 100%</t>
  </si>
  <si>
    <t>(17/17)*100% = 100%</t>
  </si>
  <si>
    <t>(Nº de auditorías efectuadas / Nº total de auditorías proyectadas en el PAA para la vigencia) * 100%</t>
  </si>
  <si>
    <t>(8/8)*100% = 100%</t>
  </si>
  <si>
    <t>(Acciones finalizadas en el aplicativo CPM en el periodo a reportar/ Acciones creadas dentro del aplicativo CPM con fecha de vencimiento en el periodo a reportar) x 100%</t>
  </si>
  <si>
    <t>(3/3)*100%=100%</t>
  </si>
  <si>
    <t>(Número de quejas tramitadas: Sumatoria de quejas tramitadas / Total quejas recibidas) X 100%</t>
  </si>
  <si>
    <t>Total Avance</t>
  </si>
  <si>
    <t>(Nº de  acciones realizadas / Nº total de actividades programadas) x 100%</t>
  </si>
  <si>
    <t>100% 
(este porcentaje equivale al 7% programado para el año)</t>
  </si>
  <si>
    <t>360.000 M2</t>
  </si>
  <si>
    <t>(Número total de predios contabilizados en los estados financiero / Número total de predios registrados en SIDEP 2,0 ) * 100%</t>
  </si>
  <si>
    <t>Porcentaje de avance de los procesos disciplinarios que cursan en el DADEP</t>
  </si>
  <si>
    <t>1T Observación</t>
  </si>
  <si>
    <t>2T Observación</t>
  </si>
  <si>
    <t>3 T Observación</t>
  </si>
  <si>
    <t>4T Observación</t>
  </si>
  <si>
    <t>(2575,27%/37)*100% = 69,60%</t>
  </si>
  <si>
    <t>(3123,39%/39)*100% = 79,89%</t>
  </si>
  <si>
    <t>(67,4%*(7/20))+(100%*(2/20))+(71,3%*(4/20))+(56,6%*(5/20))+(74%*(2/20)) = 69,40%</t>
  </si>
  <si>
    <t>(93,57%*(7/20))+(100,00%*(2/20))+(82,50%*(4/20))+(88,20%*(5/20))+(86,50%*(2/20)) = 89,95%</t>
  </si>
  <si>
    <t>(75/91)*100% = 82,42%</t>
  </si>
  <si>
    <t>(88/91)*100% = 92,31%</t>
  </si>
  <si>
    <t>(85/91)*100% = 95,60%</t>
  </si>
  <si>
    <t>(6,89+5,59%+6,59%)/15%)*100% = 127,13%</t>
  </si>
  <si>
    <t>((4,6%+6,39%+6,69%)/15%)*100% = 117,87%</t>
  </si>
  <si>
    <t>((11,04%+2,69%+9,95%)/15%)*100% = 157,87%</t>
  </si>
  <si>
    <t xml:space="preserve">(1192/1194)*100% = 99.91%
</t>
  </si>
  <si>
    <t xml:space="preserve">(617/619)*100% = 99.68%
</t>
  </si>
  <si>
    <t>(35/37)*100%= 95,95%</t>
  </si>
  <si>
    <t>(32/32)*100%= 100%</t>
  </si>
  <si>
    <t>(66/74)*100%= 89,19%</t>
  </si>
  <si>
    <t>(61/64)*100%= 95%</t>
  </si>
  <si>
    <t>Se realizó la publicación del informe trimestral de los documentos de investigación</t>
  </si>
  <si>
    <t>Se presenta el INFORME TRIMESTRAL OBSERVATORIO DEL ESPACIO PÚBLICO DE BOGOTÁ JULIO – AGOSTO – SEPTIEMBRE 2022, donde se consolida la información de las investigaciones adelantadas en los meses en mención por parte del ODEP.</t>
  </si>
  <si>
    <t>Se presenta el avance con la presentación de la PDEP ante la CIEP</t>
  </si>
  <si>
    <t>(2,65/7)*100% = 37,86%</t>
  </si>
  <si>
    <t>(3,86/7)*100% = 55,14%</t>
  </si>
  <si>
    <t xml:space="preserve">Se presenta el avance con el plan de acción de la PPDEP actual, SE ORGANIZA LA INFORMACIÓN  Y SE RETROALIMENTA EN EL FORMATO DE SEGUIMIENTO RESPECTIVO </t>
  </si>
  <si>
    <t>Este es un indicador presentado por urbanizadores y constructores.
Para el segundo trimestre se reprogramó la meta, pasando de 150.000  a 360.000 M2</t>
  </si>
  <si>
    <t xml:space="preserve">Este es un indicador presentado por urbanizadores y constructores.
Para el segundo trimestre se reprogramó la meta, pasando de 150.000  a 360.000 M2
Para el tercer trimestre se reprograma la meta, pasando de 360.000 a 700.000
</t>
  </si>
  <si>
    <t>Para el segundo trimestre se reprogramó la meta, pasando de 280 a 800 predios.</t>
  </si>
  <si>
    <t>Para el segundo trimestre se reprogramó la meta, pasando de 280 a 800 predios.
Para el tercer trimeestre se reprogramó el número de predios de 800 a 950.</t>
  </si>
  <si>
    <t>(13/79)*100% = 16,46%</t>
  </si>
  <si>
    <t>(40-132)*100% = 30,3%</t>
  </si>
  <si>
    <t>(2/4)*100% = 50%</t>
  </si>
  <si>
    <t>(3/4)*100% = 75%</t>
  </si>
  <si>
    <t>(0/1)*100% = 0% (a demanda) = 0%</t>
  </si>
  <si>
    <t>(1/1)*100% = 100% (a demanda) = 100%</t>
  </si>
  <si>
    <t>Porcentaje de autorizaciones de uso tramitadas del instrumento BACA 2,0</t>
  </si>
  <si>
    <t>(38/46)*100% = 82,61% (a demanda) = 82,61%</t>
  </si>
  <si>
    <t>(94/121)*100= 77,69%</t>
  </si>
  <si>
    <t>* Este es un indicador a demanda.
* El calulo a realizar hace referencia al Porcentaje de BACA 2,0 tramitados teniendo en cuenta el Decreto 070 del 23 de febrero de 2022 y el Protocolo de reglamentación del Decreto DISTRITAL NO 070 DE 2022.</t>
  </si>
  <si>
    <t>(Número de autorizaciones de uso tramitadas del instrumento BACA 2,0 / Número de autorizaciones de uso solicitadas) * 100%</t>
  </si>
  <si>
    <t>(130/225)*100% = 57,78% = 57,78%</t>
  </si>
  <si>
    <t>(318/526)*100% = 60,46%</t>
  </si>
  <si>
    <t>(490/1120)*100% = 43,75%</t>
  </si>
  <si>
    <t>(839/1120)*100% = 74,91%</t>
  </si>
  <si>
    <t>(272.634,28/350000)*100% = 77,90%</t>
  </si>
  <si>
    <t>(3191104,22/3189440)*100= 100,05%</t>
  </si>
  <si>
    <t>(0,6019/1)*100% = 60,19%</t>
  </si>
  <si>
    <t>(1327/1385)*100% = 95,81%</t>
  </si>
  <si>
    <t>(444/444)*100% = 100%</t>
  </si>
  <si>
    <t>(7/7)*100%=100%</t>
  </si>
  <si>
    <t>(1/1)*100%=100%</t>
  </si>
  <si>
    <t>(23/23)*100%=100%</t>
  </si>
  <si>
    <t>(7/7)*100% = 100%</t>
  </si>
  <si>
    <t>(42/46)*100%=91,3%</t>
  </si>
  <si>
    <t>(28/60)*100% = 46,67%</t>
  </si>
  <si>
    <t>(39/48)*100%=81,25%</t>
  </si>
  <si>
    <t>(67%/100)*100=67%</t>
  </si>
  <si>
    <t>(72,58%/100)*100=72,58%</t>
  </si>
  <si>
    <t>(39/39)*100%=100%</t>
  </si>
  <si>
    <t>(30/30)*100%=100%</t>
  </si>
  <si>
    <t>(12/13)*100%=92,31%</t>
  </si>
  <si>
    <t>(6/6)*100% =100%</t>
  </si>
  <si>
    <t>(1113%/23)*100%=48,39%</t>
  </si>
  <si>
    <t>(1767%/23)*100%=77%</t>
  </si>
  <si>
    <t>(26.970.108.854/38.865.190.000)* 100% = 69.39%</t>
  </si>
  <si>
    <t>(34.047.595.523/39.665.190.000)* 100% = 85.84%</t>
  </si>
  <si>
    <t>((22,8%+9,4%+8,4%+7,5%*7,5%)/
(40%+15%+15%+15%+15%))*(100)</t>
  </si>
  <si>
    <t>((32,8%+13,5%+15%+12,15%+10,35%)/
(40%+15%+15%+15%+15%))*(100)</t>
  </si>
  <si>
    <t>(65228/71797)*100%= 90,85%</t>
  </si>
  <si>
    <t>(65804/72255)*100% = 91,07%</t>
  </si>
  <si>
    <t>(65986/72440)*100%</t>
  </si>
  <si>
    <t>(22/22)*100% = 100%</t>
  </si>
  <si>
    <t>(9/9)*100% = 100%</t>
  </si>
  <si>
    <t>Durante cada trimestre se han recibido 3 quejas, las cuales fueron debidamente tramitadas en su totalidad 3 /3 * 100</t>
  </si>
  <si>
    <t>(3425,43%/39)*100% = 87,83%</t>
  </si>
  <si>
    <t>Porcentaje de cumplimiento del Plan De Sostenibilidad De MIPG</t>
  </si>
  <si>
    <t>(16/21)*100% = 57,14%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</si>
</sst>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9"/>
      <color indexed="81"/>
      <name val="Tahoma"/>
      <family val="2"/>
    </font>
    <font>
      <sz val="11"/>
      <color theme="1"/>
      <name val="Trebuchet MS"/>
      <family val="2"/>
    </font>
    <font>
      <b/>
      <sz val="8"/>
      <color theme="1"/>
      <name val="Trebuchet MS"/>
      <family val="2"/>
    </font>
    <font>
      <b/>
      <sz val="26"/>
      <color rgb="FFFF0000"/>
      <name val="Museo Sans Condensed"/>
    </font>
    <font>
      <sz val="10"/>
      <color theme="1"/>
      <name val="Museo Sans Condensed"/>
    </font>
    <font>
      <b/>
      <sz val="10"/>
      <color theme="1"/>
      <name val="Museo Sans Condensed"/>
    </font>
    <font>
      <sz val="10"/>
      <name val="Museo Sans Condensed"/>
    </font>
    <font>
      <b/>
      <sz val="16"/>
      <color theme="0"/>
      <name val="Museo Sans Condensed"/>
    </font>
    <font>
      <sz val="11"/>
      <color theme="1"/>
      <name val="Calibri"/>
      <family val="2"/>
      <scheme val="minor"/>
    </font>
    <font>
      <b/>
      <sz val="14"/>
      <color theme="0"/>
      <name val="Museo Sans Condensed"/>
    </font>
    <font>
      <b/>
      <sz val="10"/>
      <color theme="0"/>
      <name val="Museo Sans Condensed"/>
    </font>
    <font>
      <b/>
      <sz val="10"/>
      <color rgb="FFFF0000"/>
      <name val="Museo Sans Condensed"/>
    </font>
    <font>
      <b/>
      <sz val="10"/>
      <name val="Museo Sans Condensed"/>
    </font>
    <font>
      <b/>
      <sz val="12"/>
      <color theme="0"/>
      <name val="Museo Sans Condensed"/>
    </font>
    <font>
      <b/>
      <sz val="24"/>
      <color theme="0"/>
      <name val="Trebuchet MS"/>
      <family val="2"/>
    </font>
    <font>
      <b/>
      <sz val="14"/>
      <color theme="0"/>
      <name val="Trebuchet MS"/>
      <family val="2"/>
    </font>
    <font>
      <b/>
      <sz val="11"/>
      <color theme="1"/>
      <name val="Trebuchet MS"/>
      <family val="2"/>
    </font>
    <font>
      <sz val="10"/>
      <color rgb="FFFF0000"/>
      <name val="Museo Sans Condensed"/>
    </font>
    <font>
      <sz val="11"/>
      <name val="Trebuchet MS"/>
      <family val="2"/>
    </font>
    <font>
      <b/>
      <sz val="10"/>
      <color rgb="FF000000"/>
      <name val="Museo Sans Condensed"/>
    </font>
    <font>
      <sz val="10"/>
      <color rgb="FF000000"/>
      <name val="Museo Sans Condensed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3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5" fillId="9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9" fontId="17" fillId="3" borderId="1" xfId="0" applyNumberFormat="1" applyFont="1" applyFill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21" fillId="0" borderId="0" xfId="0" applyFont="1"/>
    <xf numFmtId="0" fontId="6" fillId="0" borderId="0" xfId="0" applyFont="1" applyAlignment="1">
      <alignment vertical="center"/>
    </xf>
    <xf numFmtId="9" fontId="10" fillId="0" borderId="1" xfId="2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10" fontId="10" fillId="0" borderId="1" xfId="0" applyNumberFormat="1" applyFont="1" applyBorder="1" applyAlignment="1">
      <alignment vertical="center" wrapText="1"/>
    </xf>
    <xf numFmtId="0" fontId="17" fillId="10" borderId="1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9" fontId="10" fillId="3" borderId="1" xfId="1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/>
    <xf numFmtId="3" fontId="17" fillId="3" borderId="1" xfId="5" applyNumberFormat="1" applyFont="1" applyFill="1" applyBorder="1" applyAlignment="1">
      <alignment horizontal="center" vertical="center" wrapText="1"/>
    </xf>
    <xf numFmtId="9" fontId="17" fillId="3" borderId="1" xfId="5" applyNumberFormat="1" applyFont="1" applyFill="1" applyBorder="1" applyAlignment="1">
      <alignment horizontal="center" vertical="center" wrapText="1"/>
    </xf>
    <xf numFmtId="9" fontId="17" fillId="13" borderId="1" xfId="0" applyNumberFormat="1" applyFont="1" applyFill="1" applyBorder="1" applyAlignment="1">
      <alignment horizontal="center" vertical="center" wrapText="1"/>
    </xf>
    <xf numFmtId="9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17" fillId="10" borderId="1" xfId="0" applyFont="1" applyFill="1" applyBorder="1" applyAlignment="1">
      <alignment horizontal="justify" vertical="center" wrapText="1"/>
    </xf>
    <xf numFmtId="0" fontId="17" fillId="12" borderId="1" xfId="0" applyFont="1" applyFill="1" applyBorder="1" applyAlignment="1">
      <alignment horizontal="justify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9" fontId="10" fillId="0" borderId="1" xfId="2" applyFont="1" applyBorder="1" applyAlignment="1">
      <alignment horizontal="center" vertical="center" wrapText="1"/>
    </xf>
    <xf numFmtId="10" fontId="10" fillId="11" borderId="1" xfId="0" applyNumberFormat="1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4" fontId="17" fillId="0" borderId="1" xfId="5" applyNumberFormat="1" applyFont="1" applyFill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top" wrapText="1"/>
    </xf>
    <xf numFmtId="10" fontId="10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10" fontId="10" fillId="0" borderId="1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8" fillId="7" borderId="6" xfId="0" applyFont="1" applyFill="1" applyBorder="1" applyAlignment="1">
      <alignment horizontal="center" vertical="center" wrapText="1"/>
    </xf>
    <xf numFmtId="10" fontId="17" fillId="0" borderId="1" xfId="2" applyNumberFormat="1" applyFont="1" applyFill="1" applyBorder="1" applyAlignment="1">
      <alignment horizontal="center" vertical="center" wrapText="1"/>
    </xf>
    <xf numFmtId="10" fontId="10" fillId="0" borderId="1" xfId="2" applyNumberFormat="1" applyFont="1" applyFill="1" applyBorder="1" applyAlignment="1">
      <alignment horizontal="center" vertical="center" wrapText="1"/>
    </xf>
    <xf numFmtId="10" fontId="24" fillId="14" borderId="1" xfId="2" applyNumberFormat="1" applyFont="1" applyFill="1" applyBorder="1" applyAlignment="1">
      <alignment horizontal="center" vertical="center" wrapText="1"/>
    </xf>
    <xf numFmtId="10" fontId="10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9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justify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3" fontId="17" fillId="0" borderId="1" xfId="1" applyFont="1" applyFill="1" applyBorder="1" applyAlignment="1">
      <alignment horizontal="center" vertical="center" wrapText="1"/>
    </xf>
    <xf numFmtId="10" fontId="24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9" fontId="10" fillId="11" borderId="1" xfId="0" applyNumberFormat="1" applyFont="1" applyFill="1" applyBorder="1" applyAlignment="1">
      <alignment horizontal="center" vertical="center" wrapText="1"/>
    </xf>
    <xf numFmtId="10" fontId="10" fillId="15" borderId="1" xfId="0" applyNumberFormat="1" applyFont="1" applyFill="1" applyBorder="1" applyAlignment="1">
      <alignment horizontal="center" vertical="center" wrapText="1"/>
    </xf>
    <xf numFmtId="9" fontId="17" fillId="0" borderId="1" xfId="2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textRotation="90" wrapText="1"/>
    </xf>
    <xf numFmtId="0" fontId="14" fillId="6" borderId="7" xfId="0" applyFont="1" applyFill="1" applyBorder="1" applyAlignment="1">
      <alignment horizontal="center" vertical="center" textRotation="90" wrapText="1"/>
    </xf>
    <xf numFmtId="0" fontId="14" fillId="6" borderId="2" xfId="0" applyFont="1" applyFill="1" applyBorder="1" applyAlignment="1">
      <alignment horizontal="center" vertical="center" textRotation="90" wrapText="1"/>
    </xf>
    <xf numFmtId="0" fontId="18" fillId="6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9" fontId="10" fillId="0" borderId="6" xfId="2" applyFont="1" applyFill="1" applyBorder="1" applyAlignment="1">
      <alignment horizontal="center" vertical="center" wrapText="1"/>
    </xf>
    <xf numFmtId="9" fontId="10" fillId="0" borderId="7" xfId="2" applyFont="1" applyFill="1" applyBorder="1" applyAlignment="1">
      <alignment horizontal="center" vertical="center" wrapText="1"/>
    </xf>
    <xf numFmtId="9" fontId="10" fillId="0" borderId="2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10" fillId="0" borderId="6" xfId="0" applyNumberFormat="1" applyFont="1" applyBorder="1" applyAlignment="1">
      <alignment horizontal="center" vertical="center" wrapText="1"/>
    </xf>
    <xf numFmtId="10" fontId="10" fillId="0" borderId="7" xfId="0" applyNumberFormat="1" applyFont="1" applyBorder="1" applyAlignment="1">
      <alignment horizontal="center" vertical="center" wrapText="1"/>
    </xf>
    <xf numFmtId="10" fontId="10" fillId="0" borderId="2" xfId="0" applyNumberFormat="1" applyFont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10" fontId="10" fillId="0" borderId="6" xfId="2" applyNumberFormat="1" applyFont="1" applyBorder="1" applyAlignment="1">
      <alignment horizontal="center" vertical="center" wrapText="1"/>
    </xf>
    <xf numFmtId="10" fontId="10" fillId="0" borderId="2" xfId="2" applyNumberFormat="1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textRotation="90" wrapText="1"/>
    </xf>
    <xf numFmtId="0" fontId="18" fillId="4" borderId="1" xfId="0" applyFont="1" applyFill="1" applyBorder="1" applyAlignment="1">
      <alignment horizontal="center" vertical="center" wrapText="1"/>
    </xf>
    <xf numFmtId="10" fontId="17" fillId="0" borderId="6" xfId="2" applyNumberFormat="1" applyFont="1" applyFill="1" applyBorder="1" applyAlignment="1">
      <alignment horizontal="center" vertical="center" wrapText="1"/>
    </xf>
    <xf numFmtId="10" fontId="17" fillId="0" borderId="2" xfId="2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10" fontId="17" fillId="0" borderId="6" xfId="0" applyNumberFormat="1" applyFont="1" applyBorder="1" applyAlignment="1">
      <alignment horizontal="center" vertical="center" wrapText="1"/>
    </xf>
    <xf numFmtId="10" fontId="17" fillId="0" borderId="7" xfId="0" applyNumberFormat="1" applyFont="1" applyBorder="1" applyAlignment="1">
      <alignment horizontal="center" vertical="center" wrapText="1"/>
    </xf>
    <xf numFmtId="10" fontId="17" fillId="0" borderId="2" xfId="0" applyNumberFormat="1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textRotation="90" wrapText="1"/>
    </xf>
    <xf numFmtId="0" fontId="18" fillId="8" borderId="1" xfId="0" applyFont="1" applyFill="1" applyBorder="1" applyAlignment="1">
      <alignment horizontal="center" vertical="center" wrapText="1"/>
    </xf>
    <xf numFmtId="10" fontId="10" fillId="0" borderId="7" xfId="2" applyNumberFormat="1" applyFont="1" applyBorder="1" applyAlignment="1">
      <alignment horizontal="center" vertical="center" wrapText="1"/>
    </xf>
    <xf numFmtId="10" fontId="10" fillId="11" borderId="6" xfId="0" applyNumberFormat="1" applyFont="1" applyFill="1" applyBorder="1" applyAlignment="1">
      <alignment horizontal="center" vertical="center" wrapText="1"/>
    </xf>
    <xf numFmtId="10" fontId="10" fillId="11" borderId="2" xfId="0" applyNumberFormat="1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textRotation="90" wrapText="1"/>
    </xf>
    <xf numFmtId="10" fontId="24" fillId="14" borderId="6" xfId="2" applyNumberFormat="1" applyFont="1" applyFill="1" applyBorder="1" applyAlignment="1">
      <alignment horizontal="center" vertical="center" wrapText="1"/>
    </xf>
    <xf numFmtId="10" fontId="24" fillId="14" borderId="7" xfId="2" applyNumberFormat="1" applyFont="1" applyFill="1" applyBorder="1" applyAlignment="1">
      <alignment horizontal="center" vertical="center" wrapText="1"/>
    </xf>
    <xf numFmtId="10" fontId="24" fillId="14" borderId="2" xfId="2" applyNumberFormat="1" applyFont="1" applyFill="1" applyBorder="1" applyAlignment="1">
      <alignment horizontal="center" vertical="center" wrapText="1"/>
    </xf>
    <xf numFmtId="10" fontId="17" fillId="11" borderId="1" xfId="0" applyNumberFormat="1" applyFont="1" applyFill="1" applyBorder="1" applyAlignment="1">
      <alignment horizontal="center" vertical="center" wrapText="1"/>
    </xf>
    <xf numFmtId="2" fontId="10" fillId="11" borderId="1" xfId="0" applyNumberFormat="1" applyFont="1" applyFill="1" applyBorder="1" applyAlignment="1">
      <alignment horizontal="center" vertical="center" wrapText="1"/>
    </xf>
    <xf numFmtId="10" fontId="10" fillId="11" borderId="1" xfId="2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[0]" xfId="5" builtinId="6"/>
    <cellStyle name="Millares 2" xfId="4" xr:uid="{7A489DC7-C97C-491E-AAF0-7F1CD4B49C7C}"/>
    <cellStyle name="Normal" xfId="0" builtinId="0"/>
    <cellStyle name="Normal 2" xfId="3" xr:uid="{A54A1EBB-BE41-49B5-8C0E-86190E04F763}"/>
    <cellStyle name="Porcentaje" xfId="2" builtinId="5"/>
  </cellStyles>
  <dxfs count="0"/>
  <tableStyles count="0" defaultTableStyle="TableStyleMedium2" defaultPivotStyle="PivotStyleLight16"/>
  <colors>
    <mruColors>
      <color rgb="FFFF5050"/>
      <color rgb="FF00FF00"/>
      <color rgb="FF002060"/>
      <color rgb="FF6600CC"/>
      <color rgb="FFFF6600"/>
      <color rgb="FFFF9933"/>
      <color rgb="FFFFD03B"/>
      <color rgb="FFFFF2C9"/>
      <color rgb="FF0099CC"/>
      <color rgb="FF6049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1830994</xdr:colOff>
      <xdr:row>0</xdr:row>
      <xdr:rowOff>14941</xdr:rowOff>
    </xdr:from>
    <xdr:to>
      <xdr:col>28</xdr:col>
      <xdr:colOff>101977</xdr:colOff>
      <xdr:row>0</xdr:row>
      <xdr:rowOff>741223</xdr:rowOff>
    </xdr:to>
    <xdr:pic>
      <xdr:nvPicPr>
        <xdr:cNvPr id="2" name="Imagen 1" descr="Imagen que contiene objeto&#10;&#10;Descripción generada automáticamente">
          <a:extLst>
            <a:ext uri="{FF2B5EF4-FFF2-40B4-BE49-F238E27FC236}">
              <a16:creationId xmlns:a16="http://schemas.microsoft.com/office/drawing/2014/main" id="{61D66D90-45F8-4297-A73A-8223D79BAD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31394" y="14941"/>
          <a:ext cx="1649183" cy="7262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O PROCESO"/>
      <sheetName val="Listas Nuevas"/>
      <sheetName val="Mapa de Riesgos"/>
      <sheetName val="MATRIZ DE CALIFICACIÓN"/>
      <sheetName val="Impacto Corrupcion"/>
      <sheetName val="Evaluación Diseño Control"/>
      <sheetName val="Autoseguimientos"/>
      <sheetName val="Hoja1"/>
      <sheetName val="Evalua Control"/>
      <sheetName val="CONTEXTO ORGANIZACIONAL"/>
      <sheetName val="MAPA RIESGOS PROCESO"/>
      <sheetName val="Monitoreo"/>
      <sheetName val="Listas"/>
      <sheetName val="INDICE"/>
      <sheetName val="ACTIVIDADES"/>
      <sheetName val="RESUMEN DE PROYECTO"/>
      <sheetName val="CADENA DE VALOR"/>
      <sheetName val="METAS PDD"/>
      <sheetName val="PRODUCTOS MGA"/>
      <sheetName val="METAS - TAREAS"/>
      <sheetName val="ACTIVIDADES - CUALITATIVO"/>
      <sheetName val="INDICADORES DE GESTION"/>
      <sheetName val="ACTIVIDADES2020"/>
      <sheetName val="META-ACTIVIDADES"/>
      <sheetName val="ACTIVIDADES 2021"/>
      <sheetName val="INFORME CUALITATIVO"/>
      <sheetName val="ACTIVIDADES -TA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AD34D-28B8-459F-A28C-E6F0A75DAEEE}">
  <dimension ref="A1:AF46"/>
  <sheetViews>
    <sheetView showGridLines="0" tabSelected="1" view="pageBreakPreview" topLeftCell="E1" zoomScale="70" zoomScaleNormal="70" zoomScaleSheetLayoutView="70" workbookViewId="0">
      <pane ySplit="2" topLeftCell="A3" activePane="bottomLeft" state="frozenSplit"/>
      <selection pane="bottomLeft" activeCell="K18" sqref="K18"/>
    </sheetView>
  </sheetViews>
  <sheetFormatPr baseColWidth="10" defaultColWidth="11.453125" defaultRowHeight="14.5" x14ac:dyDescent="0.35"/>
  <cols>
    <col min="1" max="1" width="24.26953125" style="4" customWidth="1"/>
    <col min="2" max="2" width="6.453125" style="4" customWidth="1"/>
    <col min="3" max="3" width="18.453125" style="1" customWidth="1"/>
    <col min="4" max="4" width="15.54296875" style="2" customWidth="1"/>
    <col min="5" max="5" width="6.7265625" style="2" customWidth="1"/>
    <col min="6" max="6" width="32" style="6" customWidth="1"/>
    <col min="7" max="7" width="10.1796875" style="8" customWidth="1"/>
    <col min="8" max="8" width="17.453125" style="57" customWidth="1"/>
    <col min="9" max="9" width="10.1796875" style="57" customWidth="1"/>
    <col min="10" max="10" width="9.1796875" style="57" customWidth="1"/>
    <col min="11" max="11" width="21.7265625" style="3" bestFit="1" customWidth="1"/>
    <col min="12" max="12" width="19.26953125" style="57" customWidth="1"/>
    <col min="13" max="13" width="11" style="57" customWidth="1"/>
    <col min="14" max="14" width="13.453125" style="57" bestFit="1" customWidth="1"/>
    <col min="15" max="15" width="21.7265625" style="3" bestFit="1" customWidth="1"/>
    <col min="16" max="16" width="20" style="58" customWidth="1"/>
    <col min="17" max="17" width="15.7265625" style="58" customWidth="1"/>
    <col min="18" max="18" width="13.453125" style="58" bestFit="1" customWidth="1"/>
    <col min="19" max="19" width="42" style="3" customWidth="1"/>
    <col min="20" max="20" width="8.54296875" style="58" hidden="1" customWidth="1"/>
    <col min="21" max="21" width="10.81640625" style="58" hidden="1" customWidth="1"/>
    <col min="22" max="22" width="13.453125" style="58" hidden="1" customWidth="1"/>
    <col min="23" max="23" width="21.7265625" style="3" hidden="1" customWidth="1"/>
    <col min="24" max="24" width="8.1796875" style="3" bestFit="1" customWidth="1"/>
    <col min="25" max="25" width="13.7265625" style="8" bestFit="1" customWidth="1"/>
    <col min="26" max="26" width="9.453125" style="8" bestFit="1" customWidth="1"/>
    <col min="27" max="27" width="37.54296875" style="7" customWidth="1"/>
    <col min="28" max="28" width="10.7265625" style="5" customWidth="1"/>
    <col min="29" max="29" width="13.1796875" style="5" customWidth="1"/>
    <col min="30" max="31" width="11.453125" style="4" customWidth="1"/>
    <col min="32" max="16384" width="11.453125" style="4"/>
  </cols>
  <sheetData>
    <row r="1" spans="1:32" ht="63" customHeight="1" x14ac:dyDescent="0.35">
      <c r="A1" s="97" t="s">
        <v>0</v>
      </c>
      <c r="B1" s="97"/>
      <c r="C1" s="97"/>
      <c r="D1" s="97"/>
      <c r="E1" s="97"/>
      <c r="F1" s="97"/>
      <c r="G1" s="98" t="s">
        <v>1</v>
      </c>
      <c r="H1" s="99" t="s">
        <v>2</v>
      </c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1"/>
      <c r="X1" s="102"/>
      <c r="Y1" s="102"/>
      <c r="Z1" s="102"/>
      <c r="AA1" s="102"/>
      <c r="AB1" s="102"/>
      <c r="AC1" s="102"/>
    </row>
    <row r="2" spans="1:32" s="30" customFormat="1" ht="35.15" customHeight="1" x14ac:dyDescent="0.35">
      <c r="A2" s="9" t="s">
        <v>3</v>
      </c>
      <c r="B2" s="103" t="s">
        <v>4</v>
      </c>
      <c r="C2" s="103"/>
      <c r="D2" s="9" t="s">
        <v>5</v>
      </c>
      <c r="E2" s="9" t="s">
        <v>6</v>
      </c>
      <c r="F2" s="9" t="s">
        <v>7</v>
      </c>
      <c r="G2" s="98"/>
      <c r="H2" s="9" t="s">
        <v>8</v>
      </c>
      <c r="I2" s="9" t="s">
        <v>121</v>
      </c>
      <c r="J2" s="9" t="s">
        <v>122</v>
      </c>
      <c r="K2" s="9" t="s">
        <v>191</v>
      </c>
      <c r="L2" s="9" t="s">
        <v>9</v>
      </c>
      <c r="M2" s="9" t="s">
        <v>123</v>
      </c>
      <c r="N2" s="9" t="s">
        <v>124</v>
      </c>
      <c r="O2" s="9" t="s">
        <v>192</v>
      </c>
      <c r="P2" s="10" t="s">
        <v>10</v>
      </c>
      <c r="Q2" s="9" t="s">
        <v>125</v>
      </c>
      <c r="R2" s="9" t="s">
        <v>126</v>
      </c>
      <c r="S2" s="9" t="s">
        <v>193</v>
      </c>
      <c r="T2" s="9" t="s">
        <v>11</v>
      </c>
      <c r="U2" s="9" t="s">
        <v>127</v>
      </c>
      <c r="V2" s="9" t="s">
        <v>128</v>
      </c>
      <c r="W2" s="9" t="s">
        <v>194</v>
      </c>
      <c r="X2" s="9" t="s">
        <v>12</v>
      </c>
      <c r="Y2" s="9" t="s">
        <v>13</v>
      </c>
      <c r="Z2" s="9" t="s">
        <v>4</v>
      </c>
      <c r="AA2" s="9" t="s">
        <v>14</v>
      </c>
      <c r="AB2" s="9" t="s">
        <v>4</v>
      </c>
      <c r="AC2" s="9" t="s">
        <v>15</v>
      </c>
    </row>
    <row r="3" spans="1:32" ht="74.150000000000006" customHeight="1" x14ac:dyDescent="0.35">
      <c r="A3" s="78" t="s">
        <v>16</v>
      </c>
      <c r="B3" s="79" t="s">
        <v>17</v>
      </c>
      <c r="C3" s="82" t="s">
        <v>18</v>
      </c>
      <c r="D3" s="83" t="s">
        <v>19</v>
      </c>
      <c r="E3" s="11">
        <v>1</v>
      </c>
      <c r="F3" s="28" t="s">
        <v>20</v>
      </c>
      <c r="G3" s="14">
        <v>1</v>
      </c>
      <c r="H3" s="25" t="s">
        <v>195</v>
      </c>
      <c r="I3" s="63">
        <f>(SUM(I4:I42)/37)*100%</f>
        <v>0.69601835945271362</v>
      </c>
      <c r="J3" s="86">
        <f>IFERROR(AVERAGE(I3:I7), )</f>
        <v>0.72641121767808847</v>
      </c>
      <c r="K3" s="12"/>
      <c r="L3" s="25" t="s">
        <v>196</v>
      </c>
      <c r="M3" s="63">
        <f>(SUM(M4:M42)/39)*100%</f>
        <v>0.79889610071923578</v>
      </c>
      <c r="N3" s="86">
        <f>IFERROR(AVERAGE(M3:M7), )</f>
        <v>0.83321365237827938</v>
      </c>
      <c r="O3" s="12"/>
      <c r="P3" s="77" t="s">
        <v>266</v>
      </c>
      <c r="Q3" s="62">
        <f>(SUM(Q4:Q42)/39)*100%</f>
        <v>0.88320005789072864</v>
      </c>
      <c r="R3" s="86">
        <f>IFERROR(AVERAGE(Q3:Q7), )</f>
        <v>1.0158620885012226</v>
      </c>
      <c r="S3" s="12"/>
      <c r="T3" s="26"/>
      <c r="U3" s="26"/>
      <c r="V3" s="86">
        <f>IFERROR(AVERAGE(U3:U7), )</f>
        <v>0</v>
      </c>
      <c r="W3" s="12"/>
      <c r="X3" s="13" t="s">
        <v>21</v>
      </c>
      <c r="Y3" s="21" t="s">
        <v>22</v>
      </c>
      <c r="Z3" s="13" t="s">
        <v>26</v>
      </c>
      <c r="AA3" s="33" t="s">
        <v>129</v>
      </c>
      <c r="AB3" s="13" t="s">
        <v>24</v>
      </c>
      <c r="AC3" s="13" t="s">
        <v>25</v>
      </c>
    </row>
    <row r="4" spans="1:32" ht="84" customHeight="1" x14ac:dyDescent="0.35">
      <c r="A4" s="78"/>
      <c r="B4" s="80"/>
      <c r="C4" s="82"/>
      <c r="D4" s="84"/>
      <c r="E4" s="11">
        <v>2</v>
      </c>
      <c r="F4" s="28" t="s">
        <v>267</v>
      </c>
      <c r="G4" s="14">
        <v>1</v>
      </c>
      <c r="H4" s="15" t="s">
        <v>130</v>
      </c>
      <c r="I4" s="15">
        <f>(34%*(7/20))+(33%*(2/20))+(21.3%*(4/20))+(25%*(5/20))+(12%*(2/20))</f>
        <v>0.26910000000000001</v>
      </c>
      <c r="J4" s="87"/>
      <c r="K4" s="12"/>
      <c r="L4" s="15" t="s">
        <v>197</v>
      </c>
      <c r="M4" s="15">
        <f>(67.4%*(7/20))+(100%*(2/20))+(71.3%*(4/20))+(56.6%*(5/20))+(74%*(2/20))</f>
        <v>0.69399999999999995</v>
      </c>
      <c r="N4" s="87"/>
      <c r="O4" s="12"/>
      <c r="P4" s="15" t="s">
        <v>198</v>
      </c>
      <c r="Q4" s="15">
        <f>(93.57%*(7/20))+(100%*(2/20))+(82.5%*(4/20))+(88.2%*(5/20))+(86.5%*(2/20))</f>
        <v>0.89949500000000004</v>
      </c>
      <c r="R4" s="87"/>
      <c r="S4" s="12"/>
      <c r="T4" s="15"/>
      <c r="U4" s="15"/>
      <c r="V4" s="87"/>
      <c r="W4" s="12"/>
      <c r="X4" s="13" t="s">
        <v>21</v>
      </c>
      <c r="Y4" s="21">
        <v>1</v>
      </c>
      <c r="Z4" s="13" t="s">
        <v>26</v>
      </c>
      <c r="AA4" s="33" t="s">
        <v>27</v>
      </c>
      <c r="AB4" s="13" t="s">
        <v>28</v>
      </c>
      <c r="AC4" s="13" t="s">
        <v>25</v>
      </c>
    </row>
    <row r="5" spans="1:32" ht="50.5" customHeight="1" x14ac:dyDescent="0.35">
      <c r="A5" s="78" t="s">
        <v>29</v>
      </c>
      <c r="B5" s="80"/>
      <c r="C5" s="82"/>
      <c r="D5" s="84"/>
      <c r="E5" s="11">
        <v>3</v>
      </c>
      <c r="F5" s="44" t="s">
        <v>30</v>
      </c>
      <c r="G5" s="14">
        <v>1</v>
      </c>
      <c r="H5" s="15" t="s">
        <v>131</v>
      </c>
      <c r="I5" s="15">
        <f>(12/21)*100%</f>
        <v>0.5714285714285714</v>
      </c>
      <c r="J5" s="87"/>
      <c r="K5" s="12"/>
      <c r="L5" s="15" t="s">
        <v>131</v>
      </c>
      <c r="M5" s="15">
        <f>(12/21)*100%</f>
        <v>0.5714285714285714</v>
      </c>
      <c r="N5" s="87"/>
      <c r="O5" s="12"/>
      <c r="P5" s="15" t="s">
        <v>268</v>
      </c>
      <c r="Q5" s="48">
        <f>(16/21)*100%</f>
        <v>0.76190476190476186</v>
      </c>
      <c r="R5" s="87"/>
      <c r="S5" s="12"/>
      <c r="T5" s="15"/>
      <c r="U5" s="15"/>
      <c r="V5" s="87"/>
      <c r="W5" s="12"/>
      <c r="X5" s="13" t="s">
        <v>21</v>
      </c>
      <c r="Y5" s="21" t="s">
        <v>22</v>
      </c>
      <c r="Z5" s="13" t="s">
        <v>26</v>
      </c>
      <c r="AA5" s="33" t="s">
        <v>186</v>
      </c>
      <c r="AB5" s="13" t="s">
        <v>24</v>
      </c>
      <c r="AC5" s="13" t="s">
        <v>31</v>
      </c>
    </row>
    <row r="6" spans="1:32" ht="57" customHeight="1" x14ac:dyDescent="0.35">
      <c r="A6" s="78"/>
      <c r="B6" s="80"/>
      <c r="C6" s="82"/>
      <c r="D6" s="85"/>
      <c r="E6" s="11">
        <v>4</v>
      </c>
      <c r="F6" s="44" t="s">
        <v>32</v>
      </c>
      <c r="G6" s="14">
        <v>1</v>
      </c>
      <c r="H6" s="15" t="s">
        <v>199</v>
      </c>
      <c r="I6" s="15">
        <f>(75/91)*100%</f>
        <v>0.82417582417582413</v>
      </c>
      <c r="J6" s="87"/>
      <c r="K6" s="12"/>
      <c r="L6" s="15" t="s">
        <v>200</v>
      </c>
      <c r="M6" s="15">
        <f>(84/91)*100%</f>
        <v>0.92307692307692313</v>
      </c>
      <c r="N6" s="87"/>
      <c r="O6" s="12"/>
      <c r="P6" s="18" t="s">
        <v>201</v>
      </c>
      <c r="Q6" s="125">
        <f>(87/91)*100%</f>
        <v>0.95604395604395609</v>
      </c>
      <c r="R6" s="87"/>
      <c r="S6" s="12"/>
      <c r="T6" s="15"/>
      <c r="U6" s="15"/>
      <c r="V6" s="87"/>
      <c r="W6" s="12"/>
      <c r="X6" s="13" t="s">
        <v>21</v>
      </c>
      <c r="Y6" s="21" t="s">
        <v>22</v>
      </c>
      <c r="Z6" s="13" t="s">
        <v>23</v>
      </c>
      <c r="AA6" s="33" t="s">
        <v>132</v>
      </c>
      <c r="AB6" s="13" t="s">
        <v>24</v>
      </c>
      <c r="AC6" s="13" t="s">
        <v>25</v>
      </c>
    </row>
    <row r="7" spans="1:32" ht="107.15" customHeight="1" x14ac:dyDescent="0.35">
      <c r="A7" s="78"/>
      <c r="B7" s="80"/>
      <c r="C7" s="82"/>
      <c r="D7" s="32" t="s">
        <v>33</v>
      </c>
      <c r="E7" s="11">
        <v>5</v>
      </c>
      <c r="F7" s="44" t="s">
        <v>34</v>
      </c>
      <c r="G7" s="14" t="s">
        <v>35</v>
      </c>
      <c r="H7" s="15" t="s">
        <v>202</v>
      </c>
      <c r="I7" s="63">
        <f>((6.89%+5.59%+6.59%)/15%)*100%</f>
        <v>1.2713333333333332</v>
      </c>
      <c r="J7" s="88"/>
      <c r="K7" s="12"/>
      <c r="L7" s="15" t="s">
        <v>203</v>
      </c>
      <c r="M7" s="15">
        <f>((4.6%+6.39%+6.69%)/15%)*100%</f>
        <v>1.1786666666666668</v>
      </c>
      <c r="N7" s="88"/>
      <c r="O7" s="12"/>
      <c r="P7" s="72" t="s">
        <v>204</v>
      </c>
      <c r="Q7" s="72">
        <f>((11.04%+2.69%+9.95%)/15%)*100%</f>
        <v>1.5786666666666669</v>
      </c>
      <c r="R7" s="88"/>
      <c r="S7" s="12"/>
      <c r="T7" s="15"/>
      <c r="U7" s="15"/>
      <c r="V7" s="88"/>
      <c r="W7" s="12"/>
      <c r="X7" s="13" t="s">
        <v>21</v>
      </c>
      <c r="Y7" s="21" t="s">
        <v>22</v>
      </c>
      <c r="Z7" s="13" t="s">
        <v>23</v>
      </c>
      <c r="AA7" s="33" t="s">
        <v>133</v>
      </c>
      <c r="AB7" s="13" t="s">
        <v>28</v>
      </c>
      <c r="AC7" s="13" t="s">
        <v>25</v>
      </c>
    </row>
    <row r="8" spans="1:32" ht="92.5" customHeight="1" x14ac:dyDescent="0.35">
      <c r="A8" s="78"/>
      <c r="B8" s="80"/>
      <c r="C8" s="82" t="s">
        <v>36</v>
      </c>
      <c r="D8" s="89" t="s">
        <v>37</v>
      </c>
      <c r="E8" s="11">
        <v>6</v>
      </c>
      <c r="F8" s="44" t="s">
        <v>38</v>
      </c>
      <c r="G8" s="17">
        <v>1</v>
      </c>
      <c r="H8" s="15" t="s">
        <v>134</v>
      </c>
      <c r="I8" s="15">
        <f>(1067/1068)*100%</f>
        <v>0.99906367041198507</v>
      </c>
      <c r="J8" s="90">
        <f>IFERROR(AVERAGE(I8:I10), )</f>
        <v>0.98718789013732833</v>
      </c>
      <c r="K8" s="12"/>
      <c r="L8" s="15" t="s">
        <v>205</v>
      </c>
      <c r="M8" s="15">
        <f>(1192/1194)*100%</f>
        <v>0.99832495812395305</v>
      </c>
      <c r="N8" s="90">
        <f>IFERROR(AVERAGE(M8:M10), )</f>
        <v>0.94989210315843486</v>
      </c>
      <c r="O8" s="12"/>
      <c r="P8" s="48" t="s">
        <v>206</v>
      </c>
      <c r="Q8" s="48">
        <f>(617/619)*100%</f>
        <v>0.99676898222940225</v>
      </c>
      <c r="R8" s="90">
        <f>IFERROR(AVERAGE(Q8:Q10), )</f>
        <v>0.98329799407646734</v>
      </c>
      <c r="S8" s="12"/>
      <c r="T8" s="12"/>
      <c r="U8" s="12"/>
      <c r="V8" s="90">
        <f>IFERROR(AVERAGE(U8:U10), )</f>
        <v>0</v>
      </c>
      <c r="W8" s="12"/>
      <c r="X8" s="13" t="s">
        <v>21</v>
      </c>
      <c r="Y8" s="21" t="s">
        <v>22</v>
      </c>
      <c r="Z8" s="13" t="s">
        <v>23</v>
      </c>
      <c r="AA8" s="34" t="s">
        <v>135</v>
      </c>
      <c r="AB8" s="13" t="s">
        <v>24</v>
      </c>
      <c r="AC8" s="13" t="s">
        <v>25</v>
      </c>
    </row>
    <row r="9" spans="1:32" ht="88" customHeight="1" x14ac:dyDescent="0.35">
      <c r="A9" s="78"/>
      <c r="B9" s="80"/>
      <c r="C9" s="82"/>
      <c r="D9" s="89"/>
      <c r="E9" s="11">
        <v>7</v>
      </c>
      <c r="F9" s="45" t="s">
        <v>39</v>
      </c>
      <c r="G9" s="39">
        <v>1</v>
      </c>
      <c r="H9" s="25" t="s">
        <v>136</v>
      </c>
      <c r="I9" s="63">
        <f>(40/40)*100%</f>
        <v>1</v>
      </c>
      <c r="J9" s="91"/>
      <c r="K9" s="41"/>
      <c r="L9" s="41" t="s">
        <v>207</v>
      </c>
      <c r="M9" s="72">
        <f>35.5/37*100%</f>
        <v>0.95945945945945943</v>
      </c>
      <c r="N9" s="91"/>
      <c r="O9" s="41"/>
      <c r="P9" s="41" t="s">
        <v>208</v>
      </c>
      <c r="Q9" s="40">
        <f>(32/32)*100%</f>
        <v>1</v>
      </c>
      <c r="R9" s="91"/>
      <c r="S9" s="41"/>
      <c r="T9" s="41"/>
      <c r="U9" s="41"/>
      <c r="V9" s="91"/>
      <c r="W9" s="41"/>
      <c r="X9" s="42" t="s">
        <v>21</v>
      </c>
      <c r="Y9" s="42" t="s">
        <v>22</v>
      </c>
      <c r="Z9" s="42" t="s">
        <v>23</v>
      </c>
      <c r="AA9" s="43" t="s">
        <v>137</v>
      </c>
      <c r="AB9" s="42" t="s">
        <v>40</v>
      </c>
      <c r="AC9" s="42" t="s">
        <v>25</v>
      </c>
    </row>
    <row r="10" spans="1:32" ht="88" customHeight="1" x14ac:dyDescent="0.35">
      <c r="A10" s="78"/>
      <c r="B10" s="80"/>
      <c r="C10" s="82"/>
      <c r="D10" s="89"/>
      <c r="E10" s="11">
        <v>8</v>
      </c>
      <c r="F10" s="45" t="s">
        <v>41</v>
      </c>
      <c r="G10" s="39">
        <v>1</v>
      </c>
      <c r="H10" s="46" t="s">
        <v>138</v>
      </c>
      <c r="I10" s="15">
        <f>(77/80)*100%</f>
        <v>0.96250000000000002</v>
      </c>
      <c r="J10" s="92"/>
      <c r="K10" s="41"/>
      <c r="L10" s="41" t="s">
        <v>209</v>
      </c>
      <c r="M10" s="72">
        <f>(66/74)*100%</f>
        <v>0.89189189189189189</v>
      </c>
      <c r="N10" s="92"/>
      <c r="O10" s="41"/>
      <c r="P10" s="41" t="s">
        <v>210</v>
      </c>
      <c r="Q10" s="40">
        <f>(61/64)*100%</f>
        <v>0.953125</v>
      </c>
      <c r="R10" s="92"/>
      <c r="S10" s="41"/>
      <c r="T10" s="41"/>
      <c r="U10" s="41"/>
      <c r="V10" s="92"/>
      <c r="W10" s="41"/>
      <c r="X10" s="42" t="s">
        <v>21</v>
      </c>
      <c r="Y10" s="42" t="s">
        <v>22</v>
      </c>
      <c r="Z10" s="42" t="s">
        <v>23</v>
      </c>
      <c r="AA10" s="43" t="s">
        <v>137</v>
      </c>
      <c r="AB10" s="42" t="s">
        <v>40</v>
      </c>
      <c r="AC10" s="42" t="s">
        <v>25</v>
      </c>
    </row>
    <row r="11" spans="1:32" ht="105" customHeight="1" x14ac:dyDescent="0.35">
      <c r="A11" s="109" t="s">
        <v>42</v>
      </c>
      <c r="B11" s="80"/>
      <c r="C11" s="93" t="s">
        <v>43</v>
      </c>
      <c r="D11" s="83" t="s">
        <v>44</v>
      </c>
      <c r="E11" s="11">
        <v>9</v>
      </c>
      <c r="F11" s="44" t="s">
        <v>45</v>
      </c>
      <c r="G11" s="35">
        <v>3</v>
      </c>
      <c r="H11" s="12">
        <v>0.75</v>
      </c>
      <c r="I11" s="47">
        <f>H11/3</f>
        <v>0.25</v>
      </c>
      <c r="J11" s="95">
        <f>IFERROR(AVERAGE(I11:I12), )</f>
        <v>0.16857142857142857</v>
      </c>
      <c r="K11" s="54"/>
      <c r="L11" s="12">
        <f>0.75+0.75</f>
        <v>1.5</v>
      </c>
      <c r="M11" s="47">
        <f>L11/3</f>
        <v>0.5</v>
      </c>
      <c r="N11" s="95">
        <f>IFERROR(AVERAGE(M11:M12), )</f>
        <v>0.43928571428571428</v>
      </c>
      <c r="O11" s="54" t="s">
        <v>211</v>
      </c>
      <c r="P11" s="12">
        <f>+L11+0.75</f>
        <v>2.25</v>
      </c>
      <c r="Q11" s="126">
        <f>+P11/G11</f>
        <v>0.75</v>
      </c>
      <c r="R11" s="95">
        <f>IFERROR(AVERAGE(Q11:Q12), )</f>
        <v>0.65071428571428569</v>
      </c>
      <c r="S11" s="54" t="s">
        <v>212</v>
      </c>
      <c r="T11" s="12"/>
      <c r="U11" s="12"/>
      <c r="V11" s="95">
        <f>IFERROR(AVERAGE(U11:U12), )</f>
        <v>0</v>
      </c>
      <c r="W11" s="54" t="s">
        <v>211</v>
      </c>
      <c r="X11" s="21" t="s">
        <v>21</v>
      </c>
      <c r="Y11" s="13">
        <v>12</v>
      </c>
      <c r="Z11" s="13" t="s">
        <v>26</v>
      </c>
      <c r="AA11" s="33" t="s">
        <v>46</v>
      </c>
      <c r="AB11" s="13" t="s">
        <v>28</v>
      </c>
      <c r="AC11" s="13" t="s">
        <v>25</v>
      </c>
    </row>
    <row r="12" spans="1:32" ht="116.15" customHeight="1" x14ac:dyDescent="0.35">
      <c r="A12" s="110"/>
      <c r="B12" s="81"/>
      <c r="C12" s="94"/>
      <c r="D12" s="85"/>
      <c r="E12" s="11">
        <v>10</v>
      </c>
      <c r="F12" s="44" t="s">
        <v>47</v>
      </c>
      <c r="G12" s="31" t="s">
        <v>187</v>
      </c>
      <c r="H12" s="51" t="s">
        <v>139</v>
      </c>
      <c r="I12" s="63">
        <f>(0.61/7) * 100%</f>
        <v>8.7142857142857147E-2</v>
      </c>
      <c r="J12" s="96"/>
      <c r="K12" s="12" t="s">
        <v>213</v>
      </c>
      <c r="L12" s="70" t="s">
        <v>214</v>
      </c>
      <c r="M12" s="63">
        <f>(2.65/7)*100%</f>
        <v>0.37857142857142856</v>
      </c>
      <c r="N12" s="96"/>
      <c r="O12" s="12" t="s">
        <v>213</v>
      </c>
      <c r="P12" s="12" t="s">
        <v>215</v>
      </c>
      <c r="Q12" s="127">
        <f>(3.86/7)*100%</f>
        <v>0.55142857142857138</v>
      </c>
      <c r="R12" s="96"/>
      <c r="S12" s="12" t="s">
        <v>216</v>
      </c>
      <c r="T12" s="12"/>
      <c r="U12" s="12"/>
      <c r="V12" s="96"/>
      <c r="W12" s="12" t="s">
        <v>213</v>
      </c>
      <c r="X12" s="21" t="s">
        <v>21</v>
      </c>
      <c r="Y12" s="13" t="s">
        <v>22</v>
      </c>
      <c r="Z12" s="13" t="s">
        <v>26</v>
      </c>
      <c r="AA12" s="33" t="s">
        <v>140</v>
      </c>
      <c r="AB12" s="13" t="s">
        <v>28</v>
      </c>
      <c r="AC12" s="13" t="s">
        <v>25</v>
      </c>
    </row>
    <row r="13" spans="1:32" ht="162.75" customHeight="1" x14ac:dyDescent="0.35">
      <c r="A13" s="104" t="s">
        <v>48</v>
      </c>
      <c r="B13" s="105" t="s">
        <v>49</v>
      </c>
      <c r="C13" s="106" t="s">
        <v>50</v>
      </c>
      <c r="D13" s="89" t="s">
        <v>44</v>
      </c>
      <c r="E13" s="11">
        <v>11</v>
      </c>
      <c r="F13" s="44" t="s">
        <v>51</v>
      </c>
      <c r="G13" s="37" t="s">
        <v>188</v>
      </c>
      <c r="H13" s="52">
        <v>50911.02</v>
      </c>
      <c r="I13" s="62">
        <f>50911.02/360000</f>
        <v>0.1414195</v>
      </c>
      <c r="J13" s="107">
        <f>IFERROR(AVERAGE(I13:I14), )</f>
        <v>0.1414195</v>
      </c>
      <c r="K13" s="54" t="s">
        <v>52</v>
      </c>
      <c r="L13" s="71">
        <f>319043.67-50911.02</f>
        <v>268132.64999999997</v>
      </c>
      <c r="M13" s="18">
        <f>(319043.67-50911.02)/360000</f>
        <v>0.7448129166666666</v>
      </c>
      <c r="N13" s="107">
        <f>IFERROR(AVERAGE(M13:M14), )</f>
        <v>0.75615645833333334</v>
      </c>
      <c r="O13" s="54" t="s">
        <v>217</v>
      </c>
      <c r="P13" s="71">
        <f>268132.65+178059.1</f>
        <v>446191.75</v>
      </c>
      <c r="Q13" s="18">
        <f>+P13/700000</f>
        <v>0.63741678571428573</v>
      </c>
      <c r="R13" s="107">
        <f>IFERROR(AVERAGE(Q13:Q14), )</f>
        <v>0.75028734022556387</v>
      </c>
      <c r="S13" s="54" t="s">
        <v>218</v>
      </c>
      <c r="T13" s="18"/>
      <c r="U13" s="18"/>
      <c r="V13" s="107">
        <f>IFERROR(AVERAGE(U13:U14), )</f>
        <v>0</v>
      </c>
      <c r="W13" s="54" t="s">
        <v>217</v>
      </c>
      <c r="X13" s="21" t="s">
        <v>21</v>
      </c>
      <c r="Y13" s="13" t="s">
        <v>22</v>
      </c>
      <c r="Z13" s="13" t="s">
        <v>26</v>
      </c>
      <c r="AA13" s="34" t="s">
        <v>53</v>
      </c>
      <c r="AB13" s="13" t="s">
        <v>28</v>
      </c>
      <c r="AC13" s="13" t="s">
        <v>25</v>
      </c>
      <c r="AE13" s="4" t="s">
        <v>141</v>
      </c>
    </row>
    <row r="14" spans="1:32" ht="116.15" customHeight="1" x14ac:dyDescent="0.35">
      <c r="A14" s="104"/>
      <c r="B14" s="105"/>
      <c r="C14" s="106"/>
      <c r="D14" s="89"/>
      <c r="E14" s="11">
        <v>12</v>
      </c>
      <c r="F14" s="44" t="s">
        <v>54</v>
      </c>
      <c r="G14" s="37">
        <v>950</v>
      </c>
      <c r="H14" s="18" t="s">
        <v>142</v>
      </c>
      <c r="I14" s="18" t="s">
        <v>22</v>
      </c>
      <c r="J14" s="108"/>
      <c r="K14" s="54"/>
      <c r="L14" s="71">
        <v>614</v>
      </c>
      <c r="M14" s="18">
        <f>+L14/800</f>
        <v>0.76749999999999996</v>
      </c>
      <c r="N14" s="108"/>
      <c r="O14" s="54" t="s">
        <v>219</v>
      </c>
      <c r="P14" s="73">
        <f>+L14+206</f>
        <v>820</v>
      </c>
      <c r="Q14" s="18">
        <f>+P14/G14</f>
        <v>0.86315789473684212</v>
      </c>
      <c r="R14" s="108"/>
      <c r="S14" s="54" t="s">
        <v>220</v>
      </c>
      <c r="T14" s="53"/>
      <c r="U14" s="53"/>
      <c r="V14" s="108"/>
      <c r="W14" s="54" t="s">
        <v>219</v>
      </c>
      <c r="X14" s="21" t="s">
        <v>21</v>
      </c>
      <c r="Y14" s="13" t="s">
        <v>22</v>
      </c>
      <c r="Z14" s="13" t="s">
        <v>26</v>
      </c>
      <c r="AA14" s="34" t="s">
        <v>55</v>
      </c>
      <c r="AB14" s="13" t="s">
        <v>28</v>
      </c>
      <c r="AC14" s="13" t="s">
        <v>56</v>
      </c>
      <c r="AE14" s="4" t="s">
        <v>143</v>
      </c>
    </row>
    <row r="15" spans="1:32" ht="112" customHeight="1" x14ac:dyDescent="0.35">
      <c r="A15" s="29" t="s">
        <v>57</v>
      </c>
      <c r="B15" s="105"/>
      <c r="C15" s="106" t="s">
        <v>58</v>
      </c>
      <c r="D15" s="89" t="s">
        <v>59</v>
      </c>
      <c r="E15" s="11">
        <v>13</v>
      </c>
      <c r="F15" s="44" t="s">
        <v>60</v>
      </c>
      <c r="G15" s="14">
        <v>1</v>
      </c>
      <c r="H15" s="15" t="s">
        <v>144</v>
      </c>
      <c r="I15" s="15">
        <f>(11/79)*100%</f>
        <v>0.13924050632911392</v>
      </c>
      <c r="J15" s="90">
        <f>IFERROR(AVERAGE(I15:I21), )</f>
        <v>0.73417721518987344</v>
      </c>
      <c r="K15" s="12"/>
      <c r="L15" s="15" t="s">
        <v>221</v>
      </c>
      <c r="M15" s="15">
        <f>(13/79)*100%</f>
        <v>0.16455696202531644</v>
      </c>
      <c r="N15" s="90">
        <f>IFERROR(AVERAGE(M15:M21), )</f>
        <v>0.72406024233211908</v>
      </c>
      <c r="O15" s="12"/>
      <c r="P15" s="15" t="s">
        <v>222</v>
      </c>
      <c r="Q15" s="63">
        <f>(40/132)*100%</f>
        <v>0.30303030303030304</v>
      </c>
      <c r="R15" s="90">
        <f>IFERROR(AVERAGE(Q15:Q21), )</f>
        <v>0.77635036354358855</v>
      </c>
      <c r="S15" s="12"/>
      <c r="T15" s="15"/>
      <c r="U15" s="15"/>
      <c r="V15" s="90">
        <f>IFERROR(AVERAGE(U15:U21), )</f>
        <v>0</v>
      </c>
      <c r="W15" s="12"/>
      <c r="X15" s="21" t="s">
        <v>21</v>
      </c>
      <c r="Y15" s="21" t="s">
        <v>22</v>
      </c>
      <c r="Z15" s="13" t="s">
        <v>26</v>
      </c>
      <c r="AA15" s="33" t="s">
        <v>145</v>
      </c>
      <c r="AB15" s="13" t="s">
        <v>28</v>
      </c>
      <c r="AC15" s="13" t="s">
        <v>25</v>
      </c>
    </row>
    <row r="16" spans="1:32" ht="61" customHeight="1" x14ac:dyDescent="0.35">
      <c r="A16" s="104"/>
      <c r="B16" s="105"/>
      <c r="C16" s="106"/>
      <c r="D16" s="89"/>
      <c r="E16" s="11">
        <v>14</v>
      </c>
      <c r="F16" s="44" t="s">
        <v>61</v>
      </c>
      <c r="G16" s="14">
        <v>1</v>
      </c>
      <c r="H16" s="15" t="s">
        <v>146</v>
      </c>
      <c r="I16" s="15">
        <f>(0/4)*100%</f>
        <v>0</v>
      </c>
      <c r="J16" s="91"/>
      <c r="K16" s="12"/>
      <c r="L16" s="15" t="s">
        <v>223</v>
      </c>
      <c r="M16" s="15">
        <f>(2/4)*100%</f>
        <v>0.5</v>
      </c>
      <c r="N16" s="91"/>
      <c r="O16" s="12"/>
      <c r="P16" s="15" t="s">
        <v>224</v>
      </c>
      <c r="Q16" s="15">
        <f>(3/4)*100%</f>
        <v>0.75</v>
      </c>
      <c r="R16" s="91"/>
      <c r="S16" s="12"/>
      <c r="T16" s="15"/>
      <c r="U16" s="15"/>
      <c r="V16" s="91"/>
      <c r="W16" s="12"/>
      <c r="X16" s="21" t="s">
        <v>21</v>
      </c>
      <c r="Y16" s="21" t="s">
        <v>22</v>
      </c>
      <c r="Z16" s="13" t="s">
        <v>26</v>
      </c>
      <c r="AA16" s="33" t="s">
        <v>147</v>
      </c>
      <c r="AB16" s="13" t="s">
        <v>28</v>
      </c>
      <c r="AC16" s="13" t="s">
        <v>25</v>
      </c>
      <c r="AE16" s="4" t="s">
        <v>148</v>
      </c>
      <c r="AF16" s="4" t="s">
        <v>149</v>
      </c>
    </row>
    <row r="17" spans="1:32" ht="50.5" customHeight="1" x14ac:dyDescent="0.35">
      <c r="A17" s="104"/>
      <c r="B17" s="105"/>
      <c r="C17" s="106"/>
      <c r="D17" s="89"/>
      <c r="E17" s="11">
        <v>15</v>
      </c>
      <c r="F17" s="44" t="s">
        <v>62</v>
      </c>
      <c r="G17" s="14">
        <v>1</v>
      </c>
      <c r="H17" s="15" t="s">
        <v>150</v>
      </c>
      <c r="I17" s="15">
        <f>(0.1/0.1)*100%</f>
        <v>1</v>
      </c>
      <c r="J17" s="91"/>
      <c r="K17" s="12" t="s">
        <v>151</v>
      </c>
      <c r="L17" s="15" t="s">
        <v>225</v>
      </c>
      <c r="M17" s="15">
        <f>+(0.1/0.1)</f>
        <v>1</v>
      </c>
      <c r="N17" s="91"/>
      <c r="O17" s="12" t="s">
        <v>151</v>
      </c>
      <c r="P17" s="15" t="s">
        <v>226</v>
      </c>
      <c r="Q17" s="15">
        <f>(1/1)*100%</f>
        <v>1</v>
      </c>
      <c r="R17" s="91"/>
      <c r="S17" s="12" t="s">
        <v>151</v>
      </c>
      <c r="T17" s="15"/>
      <c r="U17" s="15"/>
      <c r="V17" s="91"/>
      <c r="W17" s="12" t="s">
        <v>151</v>
      </c>
      <c r="X17" s="21" t="s">
        <v>21</v>
      </c>
      <c r="Y17" s="21" t="s">
        <v>22</v>
      </c>
      <c r="Z17" s="13" t="s">
        <v>23</v>
      </c>
      <c r="AA17" s="33" t="s">
        <v>152</v>
      </c>
      <c r="AB17" s="13" t="s">
        <v>28</v>
      </c>
      <c r="AC17" s="13" t="s">
        <v>25</v>
      </c>
      <c r="AE17" s="4" t="s">
        <v>148</v>
      </c>
      <c r="AF17" s="4" t="s">
        <v>149</v>
      </c>
    </row>
    <row r="18" spans="1:32" ht="96.75" customHeight="1" x14ac:dyDescent="0.35">
      <c r="A18" s="104"/>
      <c r="B18" s="105"/>
      <c r="C18" s="106"/>
      <c r="D18" s="89"/>
      <c r="E18" s="11">
        <v>16</v>
      </c>
      <c r="F18" s="44" t="s">
        <v>227</v>
      </c>
      <c r="G18" s="14">
        <v>1</v>
      </c>
      <c r="H18" s="15" t="s">
        <v>150</v>
      </c>
      <c r="I18" s="15">
        <f>(0.1/0.1)*100%</f>
        <v>1</v>
      </c>
      <c r="J18" s="91"/>
      <c r="K18" s="12" t="s">
        <v>151</v>
      </c>
      <c r="L18" s="15" t="s">
        <v>228</v>
      </c>
      <c r="M18" s="63">
        <f>(38/46)*100%</f>
        <v>0.82608695652173914</v>
      </c>
      <c r="N18" s="91"/>
      <c r="O18" s="12" t="s">
        <v>151</v>
      </c>
      <c r="P18" s="15" t="s">
        <v>229</v>
      </c>
      <c r="Q18" s="15">
        <f>(94/121)*100%</f>
        <v>0.77685950413223137</v>
      </c>
      <c r="R18" s="91"/>
      <c r="S18" s="12" t="s">
        <v>230</v>
      </c>
      <c r="T18" s="15"/>
      <c r="U18" s="15"/>
      <c r="V18" s="91"/>
      <c r="W18" s="12" t="s">
        <v>151</v>
      </c>
      <c r="X18" s="21" t="s">
        <v>21</v>
      </c>
      <c r="Y18" s="21" t="s">
        <v>22</v>
      </c>
      <c r="Z18" s="13" t="s">
        <v>23</v>
      </c>
      <c r="AA18" s="33" t="s">
        <v>231</v>
      </c>
      <c r="AB18" s="13" t="s">
        <v>28</v>
      </c>
      <c r="AC18" s="13" t="s">
        <v>25</v>
      </c>
      <c r="AE18" s="4" t="s">
        <v>148</v>
      </c>
      <c r="AF18" s="4" t="s">
        <v>149</v>
      </c>
    </row>
    <row r="19" spans="1:32" ht="50.5" customHeight="1" x14ac:dyDescent="0.35">
      <c r="A19" s="104"/>
      <c r="B19" s="105"/>
      <c r="C19" s="106"/>
      <c r="D19" s="89"/>
      <c r="E19" s="11">
        <v>17</v>
      </c>
      <c r="F19" s="44" t="s">
        <v>63</v>
      </c>
      <c r="G19" s="14">
        <v>1</v>
      </c>
      <c r="H19" s="15" t="s">
        <v>153</v>
      </c>
      <c r="I19" s="15">
        <f>(1/1)*100%</f>
        <v>1</v>
      </c>
      <c r="J19" s="91"/>
      <c r="K19" s="12" t="s">
        <v>151</v>
      </c>
      <c r="L19" s="15" t="s">
        <v>153</v>
      </c>
      <c r="M19" s="15">
        <f>(1/1)*100%</f>
        <v>1</v>
      </c>
      <c r="N19" s="91"/>
      <c r="O19" s="12" t="s">
        <v>151</v>
      </c>
      <c r="P19" s="15" t="s">
        <v>153</v>
      </c>
      <c r="Q19" s="15">
        <f>(1/1)*100%</f>
        <v>1</v>
      </c>
      <c r="R19" s="91"/>
      <c r="S19" s="12" t="s">
        <v>151</v>
      </c>
      <c r="T19" s="15"/>
      <c r="U19" s="15"/>
      <c r="V19" s="91"/>
      <c r="W19" s="12" t="s">
        <v>151</v>
      </c>
      <c r="X19" s="21" t="s">
        <v>21</v>
      </c>
      <c r="Y19" s="21" t="s">
        <v>22</v>
      </c>
      <c r="Z19" s="13" t="s">
        <v>23</v>
      </c>
      <c r="AA19" s="33" t="s">
        <v>154</v>
      </c>
      <c r="AB19" s="13" t="s">
        <v>28</v>
      </c>
      <c r="AC19" s="13" t="s">
        <v>25</v>
      </c>
      <c r="AE19" s="4" t="s">
        <v>148</v>
      </c>
      <c r="AF19" s="4" t="s">
        <v>149</v>
      </c>
    </row>
    <row r="20" spans="1:32" ht="50.5" customHeight="1" x14ac:dyDescent="0.35">
      <c r="A20" s="104"/>
      <c r="B20" s="105"/>
      <c r="C20" s="106"/>
      <c r="D20" s="89"/>
      <c r="E20" s="11">
        <v>18</v>
      </c>
      <c r="F20" s="44" t="s">
        <v>64</v>
      </c>
      <c r="G20" s="14">
        <v>1</v>
      </c>
      <c r="H20" s="15" t="s">
        <v>150</v>
      </c>
      <c r="I20" s="15">
        <f t="shared" ref="I20:I21" si="0">(0.1/0.1)*100%</f>
        <v>1</v>
      </c>
      <c r="J20" s="91"/>
      <c r="K20" s="12" t="s">
        <v>151</v>
      </c>
      <c r="L20" s="15" t="s">
        <v>150</v>
      </c>
      <c r="M20" s="15">
        <f t="shared" ref="M20" si="1">(0.1/0.1)*100%</f>
        <v>1</v>
      </c>
      <c r="N20" s="91"/>
      <c r="O20" s="12" t="s">
        <v>151</v>
      </c>
      <c r="P20" s="15" t="s">
        <v>150</v>
      </c>
      <c r="Q20" s="15">
        <f>+(1)*100%</f>
        <v>1</v>
      </c>
      <c r="R20" s="91"/>
      <c r="S20" s="12" t="s">
        <v>151</v>
      </c>
      <c r="T20" s="15"/>
      <c r="U20" s="15"/>
      <c r="V20" s="91"/>
      <c r="W20" s="12" t="s">
        <v>151</v>
      </c>
      <c r="X20" s="21" t="s">
        <v>21</v>
      </c>
      <c r="Y20" s="21" t="s">
        <v>22</v>
      </c>
      <c r="Z20" s="13" t="s">
        <v>23</v>
      </c>
      <c r="AA20" s="33" t="s">
        <v>155</v>
      </c>
      <c r="AB20" s="13" t="s">
        <v>40</v>
      </c>
      <c r="AC20" s="13" t="s">
        <v>25</v>
      </c>
      <c r="AE20" s="4" t="s">
        <v>148</v>
      </c>
      <c r="AF20" s="4" t="s">
        <v>149</v>
      </c>
    </row>
    <row r="21" spans="1:32" ht="69" customHeight="1" x14ac:dyDescent="0.35">
      <c r="A21" s="104"/>
      <c r="B21" s="105"/>
      <c r="C21" s="106"/>
      <c r="D21" s="89"/>
      <c r="E21" s="11">
        <v>19</v>
      </c>
      <c r="F21" s="44" t="s">
        <v>65</v>
      </c>
      <c r="G21" s="17">
        <v>1</v>
      </c>
      <c r="H21" s="15" t="s">
        <v>156</v>
      </c>
      <c r="I21" s="15">
        <f t="shared" si="0"/>
        <v>1</v>
      </c>
      <c r="J21" s="92"/>
      <c r="K21" s="12"/>
      <c r="L21" s="15" t="s">
        <v>232</v>
      </c>
      <c r="M21" s="15">
        <f>(130/225)*100%</f>
        <v>0.57777777777777772</v>
      </c>
      <c r="N21" s="92"/>
      <c r="O21" s="12"/>
      <c r="P21" s="15" t="s">
        <v>233</v>
      </c>
      <c r="Q21" s="15">
        <f>(318/526)*100%</f>
        <v>0.6045627376425855</v>
      </c>
      <c r="R21" s="92"/>
      <c r="S21" s="12"/>
      <c r="T21" s="15"/>
      <c r="U21" s="15"/>
      <c r="V21" s="92"/>
      <c r="W21" s="12"/>
      <c r="X21" s="21" t="s">
        <v>21</v>
      </c>
      <c r="Y21" s="21" t="s">
        <v>22</v>
      </c>
      <c r="Z21" s="13" t="s">
        <v>23</v>
      </c>
      <c r="AA21" s="33" t="s">
        <v>157</v>
      </c>
      <c r="AB21" s="13" t="s">
        <v>28</v>
      </c>
      <c r="AC21" s="13" t="s">
        <v>25</v>
      </c>
      <c r="AE21" s="4" t="s">
        <v>148</v>
      </c>
      <c r="AF21" s="4" t="s">
        <v>149</v>
      </c>
    </row>
    <row r="22" spans="1:32" ht="82.5" customHeight="1" x14ac:dyDescent="0.35">
      <c r="A22" s="104" t="s">
        <v>48</v>
      </c>
      <c r="B22" s="105"/>
      <c r="C22" s="106" t="s">
        <v>66</v>
      </c>
      <c r="D22" s="89" t="s">
        <v>59</v>
      </c>
      <c r="E22" s="11">
        <v>20</v>
      </c>
      <c r="F22" s="44" t="s">
        <v>67</v>
      </c>
      <c r="G22" s="14">
        <v>1</v>
      </c>
      <c r="H22" s="15" t="s">
        <v>158</v>
      </c>
      <c r="I22" s="15">
        <f>(197/1120)*100%</f>
        <v>0.17589285714285716</v>
      </c>
      <c r="J22" s="90">
        <f>IFERROR(AVERAGE(I22:I23), )</f>
        <v>0.25279227857142855</v>
      </c>
      <c r="K22" s="12"/>
      <c r="L22" s="15" t="s">
        <v>234</v>
      </c>
      <c r="M22" s="15">
        <f>(490/1120)*100%</f>
        <v>0.4375</v>
      </c>
      <c r="N22" s="90">
        <f>IFERROR(AVERAGE(M22:M23), )</f>
        <v>0.60822754285714287</v>
      </c>
      <c r="O22" s="12"/>
      <c r="P22" s="15" t="s">
        <v>235</v>
      </c>
      <c r="Q22" s="15">
        <f>(839/1120)*100%</f>
        <v>0.74910714285714286</v>
      </c>
      <c r="R22" s="90">
        <f>IFERROR(AVERAGE(Q22:Q23), )</f>
        <v>0.87481446675815899</v>
      </c>
      <c r="S22" s="12"/>
      <c r="T22" s="15"/>
      <c r="U22" s="15"/>
      <c r="V22" s="90">
        <f>IFERROR(AVERAGE(U22:U23), )</f>
        <v>0</v>
      </c>
      <c r="W22" s="12"/>
      <c r="X22" s="21" t="s">
        <v>21</v>
      </c>
      <c r="Y22" s="21" t="s">
        <v>22</v>
      </c>
      <c r="Z22" s="13" t="s">
        <v>26</v>
      </c>
      <c r="AA22" s="33" t="s">
        <v>68</v>
      </c>
      <c r="AB22" s="13" t="s">
        <v>28</v>
      </c>
      <c r="AC22" s="13" t="s">
        <v>25</v>
      </c>
    </row>
    <row r="23" spans="1:32" ht="76.5" customHeight="1" x14ac:dyDescent="0.35">
      <c r="A23" s="104"/>
      <c r="B23" s="105"/>
      <c r="C23" s="106"/>
      <c r="D23" s="89"/>
      <c r="E23" s="11">
        <v>21</v>
      </c>
      <c r="F23" s="44" t="s">
        <v>69</v>
      </c>
      <c r="G23" s="14">
        <v>1</v>
      </c>
      <c r="H23" s="15" t="s">
        <v>159</v>
      </c>
      <c r="I23" s="15">
        <f>(65938.34/200000)*100%</f>
        <v>0.32969169999999998</v>
      </c>
      <c r="J23" s="92"/>
      <c r="K23" s="12"/>
      <c r="L23" s="15" t="s">
        <v>236</v>
      </c>
      <c r="M23" s="15">
        <f>+(272634.28/350000)*100%</f>
        <v>0.77895508571428584</v>
      </c>
      <c r="N23" s="92"/>
      <c r="O23" s="12"/>
      <c r="P23" s="15" t="s">
        <v>237</v>
      </c>
      <c r="Q23" s="15">
        <f>(3191104.22/3189440)*100%</f>
        <v>1.0005217906591752</v>
      </c>
      <c r="R23" s="92"/>
      <c r="S23" s="12"/>
      <c r="T23" s="15"/>
      <c r="U23" s="15"/>
      <c r="V23" s="92"/>
      <c r="W23" s="12"/>
      <c r="X23" s="21" t="s">
        <v>21</v>
      </c>
      <c r="Y23" s="21" t="s">
        <v>22</v>
      </c>
      <c r="Z23" s="13" t="s">
        <v>26</v>
      </c>
      <c r="AA23" s="33" t="s">
        <v>70</v>
      </c>
      <c r="AB23" s="13" t="s">
        <v>28</v>
      </c>
      <c r="AC23" s="13" t="s">
        <v>25</v>
      </c>
    </row>
    <row r="24" spans="1:32" ht="72.75" customHeight="1" x14ac:dyDescent="0.35">
      <c r="A24" s="104" t="s">
        <v>16</v>
      </c>
      <c r="B24" s="114" t="s">
        <v>71</v>
      </c>
      <c r="C24" s="115" t="s">
        <v>72</v>
      </c>
      <c r="D24" s="89" t="s">
        <v>73</v>
      </c>
      <c r="E24" s="11">
        <v>22</v>
      </c>
      <c r="F24" s="44" t="s">
        <v>74</v>
      </c>
      <c r="G24" s="17">
        <v>0.9</v>
      </c>
      <c r="H24" s="47" t="s">
        <v>160</v>
      </c>
      <c r="I24" s="59">
        <f>(4/4)*100%</f>
        <v>1</v>
      </c>
      <c r="J24" s="95">
        <f>IFERROR(AVERAGE(I24:I27), )</f>
        <v>0.87145713423466931</v>
      </c>
      <c r="K24" s="12"/>
      <c r="L24" s="12" t="s">
        <v>160</v>
      </c>
      <c r="M24" s="63">
        <f>(4/4)*100%</f>
        <v>1</v>
      </c>
      <c r="N24" s="95">
        <f>IFERROR(AVERAGE(M24:M27), )</f>
        <v>0.8900056859205776</v>
      </c>
      <c r="O24" s="12"/>
      <c r="P24" s="15" t="s">
        <v>160</v>
      </c>
      <c r="Q24" s="15">
        <f>(4/4)*100%</f>
        <v>1</v>
      </c>
      <c r="R24" s="95">
        <f>IFERROR(AVERAGE(Q24:Q27), )</f>
        <v>0.87145713423466931</v>
      </c>
      <c r="S24" s="12"/>
      <c r="T24" s="12"/>
      <c r="U24" s="12"/>
      <c r="V24" s="95">
        <f>IFERROR(AVERAGE(U24:U27), )</f>
        <v>0</v>
      </c>
      <c r="W24" s="12"/>
      <c r="X24" s="21" t="s">
        <v>21</v>
      </c>
      <c r="Y24" s="21" t="s">
        <v>22</v>
      </c>
      <c r="Z24" s="13" t="s">
        <v>23</v>
      </c>
      <c r="AA24" s="33" t="s">
        <v>75</v>
      </c>
      <c r="AB24" s="13" t="s">
        <v>28</v>
      </c>
      <c r="AC24" s="13" t="s">
        <v>25</v>
      </c>
    </row>
    <row r="25" spans="1:32" ht="61.5" customHeight="1" x14ac:dyDescent="0.35">
      <c r="A25" s="104"/>
      <c r="B25" s="114"/>
      <c r="C25" s="115"/>
      <c r="D25" s="89"/>
      <c r="E25" s="11">
        <v>23</v>
      </c>
      <c r="F25" s="44" t="s">
        <v>76</v>
      </c>
      <c r="G25" s="17">
        <v>1</v>
      </c>
      <c r="H25" s="47" t="s">
        <v>161</v>
      </c>
      <c r="I25" s="59">
        <f>(0.4979/1)*100%</f>
        <v>0.49790000000000001</v>
      </c>
      <c r="J25" s="116"/>
      <c r="K25" s="12"/>
      <c r="L25" s="12" t="s">
        <v>238</v>
      </c>
      <c r="M25" s="63">
        <f>(0.6019/1)*100%</f>
        <v>0.60189999999999999</v>
      </c>
      <c r="N25" s="116"/>
      <c r="O25" s="12"/>
      <c r="P25" s="15" t="s">
        <v>161</v>
      </c>
      <c r="Q25" s="15">
        <f>(0.4979/1)*100%</f>
        <v>0.49790000000000001</v>
      </c>
      <c r="R25" s="116"/>
      <c r="S25" s="12"/>
      <c r="T25" s="12"/>
      <c r="U25" s="12"/>
      <c r="V25" s="116"/>
      <c r="W25" s="12"/>
      <c r="X25" s="21" t="s">
        <v>21</v>
      </c>
      <c r="Y25" s="21" t="s">
        <v>22</v>
      </c>
      <c r="Z25" s="13" t="s">
        <v>26</v>
      </c>
      <c r="AA25" s="33" t="s">
        <v>77</v>
      </c>
      <c r="AB25" s="13" t="s">
        <v>28</v>
      </c>
      <c r="AC25" s="13" t="s">
        <v>25</v>
      </c>
    </row>
    <row r="26" spans="1:32" ht="53.5" customHeight="1" x14ac:dyDescent="0.35">
      <c r="A26" s="104"/>
      <c r="B26" s="114"/>
      <c r="C26" s="115"/>
      <c r="D26" s="89"/>
      <c r="E26" s="11">
        <v>24</v>
      </c>
      <c r="F26" s="44" t="s">
        <v>78</v>
      </c>
      <c r="G26" s="17">
        <v>1</v>
      </c>
      <c r="H26" s="47" t="s">
        <v>162</v>
      </c>
      <c r="I26" s="59">
        <f>(2046/2071)*100%</f>
        <v>0.98792853693867699</v>
      </c>
      <c r="J26" s="116"/>
      <c r="K26" s="50"/>
      <c r="L26" s="12" t="s">
        <v>239</v>
      </c>
      <c r="M26" s="63">
        <f>( 1327/ 1385)*100%</f>
        <v>0.95812274368231043</v>
      </c>
      <c r="N26" s="116"/>
      <c r="O26" s="50"/>
      <c r="P26" s="15" t="s">
        <v>162</v>
      </c>
      <c r="Q26" s="15">
        <f>(2046/2071)*100%</f>
        <v>0.98792853693867699</v>
      </c>
      <c r="R26" s="116"/>
      <c r="S26" s="50"/>
      <c r="T26" s="12"/>
      <c r="U26" s="12"/>
      <c r="V26" s="116"/>
      <c r="W26" s="50"/>
      <c r="X26" s="21" t="s">
        <v>21</v>
      </c>
      <c r="Y26" s="21" t="s">
        <v>22</v>
      </c>
      <c r="Z26" s="13" t="s">
        <v>23</v>
      </c>
      <c r="AA26" s="33" t="s">
        <v>79</v>
      </c>
      <c r="AB26" s="13" t="s">
        <v>28</v>
      </c>
      <c r="AC26" s="13" t="s">
        <v>25</v>
      </c>
    </row>
    <row r="27" spans="1:32" ht="54.65" customHeight="1" x14ac:dyDescent="0.35">
      <c r="A27" s="104"/>
      <c r="B27" s="114"/>
      <c r="C27" s="115"/>
      <c r="D27" s="89"/>
      <c r="E27" s="11">
        <v>25</v>
      </c>
      <c r="F27" s="44" t="s">
        <v>80</v>
      </c>
      <c r="G27" s="17">
        <v>1</v>
      </c>
      <c r="H27" s="47" t="s">
        <v>163</v>
      </c>
      <c r="I27" s="59">
        <f>(300/300)*100%</f>
        <v>1</v>
      </c>
      <c r="J27" s="96"/>
      <c r="K27" s="12"/>
      <c r="L27" s="12" t="s">
        <v>240</v>
      </c>
      <c r="M27" s="63">
        <f>(444/444)*100%</f>
        <v>1</v>
      </c>
      <c r="N27" s="96"/>
      <c r="O27" s="12"/>
      <c r="P27" s="15" t="s">
        <v>163</v>
      </c>
      <c r="Q27" s="15">
        <f>(300/300)*100%</f>
        <v>1</v>
      </c>
      <c r="R27" s="96"/>
      <c r="S27" s="12"/>
      <c r="T27" s="12"/>
      <c r="U27" s="12"/>
      <c r="V27" s="96"/>
      <c r="W27" s="12"/>
      <c r="X27" s="21" t="s">
        <v>21</v>
      </c>
      <c r="Y27" s="21" t="s">
        <v>22</v>
      </c>
      <c r="Z27" s="13" t="s">
        <v>23</v>
      </c>
      <c r="AA27" s="33" t="s">
        <v>81</v>
      </c>
      <c r="AB27" s="13" t="s">
        <v>28</v>
      </c>
      <c r="AC27" s="13" t="s">
        <v>25</v>
      </c>
    </row>
    <row r="28" spans="1:32" ht="54" customHeight="1" x14ac:dyDescent="0.35">
      <c r="A28" s="104" t="s">
        <v>16</v>
      </c>
      <c r="B28" s="114"/>
      <c r="C28" s="115" t="s">
        <v>82</v>
      </c>
      <c r="D28" s="89" t="s">
        <v>83</v>
      </c>
      <c r="E28" s="11">
        <v>26</v>
      </c>
      <c r="F28" s="44" t="s">
        <v>84</v>
      </c>
      <c r="G28" s="17">
        <v>1</v>
      </c>
      <c r="H28" s="18" t="s">
        <v>160</v>
      </c>
      <c r="I28" s="18">
        <f>(3/3)*100%</f>
        <v>1</v>
      </c>
      <c r="J28" s="111">
        <f>IFERROR(AVERAGE(I28:I32), )</f>
        <v>0.82979351032448379</v>
      </c>
      <c r="K28" s="54"/>
      <c r="L28" s="18" t="s">
        <v>160</v>
      </c>
      <c r="M28" s="18">
        <f>(4/4)*100%</f>
        <v>1</v>
      </c>
      <c r="N28" s="111">
        <f>IFERROR(AVERAGE(M28:M32), )</f>
        <v>0.89333333333333331</v>
      </c>
      <c r="O28" s="54"/>
      <c r="P28" s="18" t="s">
        <v>241</v>
      </c>
      <c r="Q28" s="18">
        <f>(7/7)*100%</f>
        <v>1</v>
      </c>
      <c r="R28" s="111">
        <f>IFERROR(AVERAGE(Q28:Q32), )</f>
        <v>0.94510869565217381</v>
      </c>
      <c r="S28" s="54"/>
      <c r="T28" s="18"/>
      <c r="U28" s="18"/>
      <c r="V28" s="111">
        <f>IFERROR(AVERAGE(U28:U32), )</f>
        <v>0</v>
      </c>
      <c r="W28" s="54"/>
      <c r="X28" s="19" t="s">
        <v>21</v>
      </c>
      <c r="Y28" s="20" t="s">
        <v>22</v>
      </c>
      <c r="Z28" s="20" t="s">
        <v>23</v>
      </c>
      <c r="AA28" s="34" t="s">
        <v>85</v>
      </c>
      <c r="AB28" s="20" t="s">
        <v>28</v>
      </c>
      <c r="AC28" s="20" t="s">
        <v>25</v>
      </c>
    </row>
    <row r="29" spans="1:32" ht="52" x14ac:dyDescent="0.35">
      <c r="A29" s="104"/>
      <c r="B29" s="114"/>
      <c r="C29" s="115"/>
      <c r="D29" s="89"/>
      <c r="E29" s="11">
        <v>27</v>
      </c>
      <c r="F29" s="44" t="s">
        <v>86</v>
      </c>
      <c r="G29" s="17">
        <v>1</v>
      </c>
      <c r="H29" s="18" t="s">
        <v>153</v>
      </c>
      <c r="I29" s="18">
        <f>(1/1)*100%</f>
        <v>1</v>
      </c>
      <c r="J29" s="112"/>
      <c r="K29" s="54"/>
      <c r="L29" s="18" t="s">
        <v>153</v>
      </c>
      <c r="M29" s="18">
        <f>(1/1)*100%</f>
        <v>1</v>
      </c>
      <c r="N29" s="112"/>
      <c r="O29" s="54"/>
      <c r="P29" s="18" t="s">
        <v>242</v>
      </c>
      <c r="Q29" s="18">
        <f>+(1/1)*100%</f>
        <v>1</v>
      </c>
      <c r="R29" s="112"/>
      <c r="S29" s="54"/>
      <c r="T29" s="18"/>
      <c r="U29" s="18"/>
      <c r="V29" s="112"/>
      <c r="W29" s="54"/>
      <c r="X29" s="19" t="s">
        <v>21</v>
      </c>
      <c r="Y29" s="20" t="s">
        <v>22</v>
      </c>
      <c r="Z29" s="20" t="s">
        <v>26</v>
      </c>
      <c r="AA29" s="34" t="s">
        <v>87</v>
      </c>
      <c r="AB29" s="20" t="s">
        <v>28</v>
      </c>
      <c r="AC29" s="20" t="s">
        <v>25</v>
      </c>
    </row>
    <row r="30" spans="1:32" ht="61.5" customHeight="1" x14ac:dyDescent="0.35">
      <c r="A30" s="104"/>
      <c r="B30" s="114"/>
      <c r="C30" s="115"/>
      <c r="D30" s="89"/>
      <c r="E30" s="11">
        <v>28</v>
      </c>
      <c r="F30" s="44" t="s">
        <v>88</v>
      </c>
      <c r="G30" s="17">
        <v>1</v>
      </c>
      <c r="H30" s="18" t="s">
        <v>164</v>
      </c>
      <c r="I30" s="18">
        <f>(24/24)*100%</f>
        <v>1</v>
      </c>
      <c r="J30" s="112"/>
      <c r="K30" s="54"/>
      <c r="L30" s="18" t="s">
        <v>179</v>
      </c>
      <c r="M30" s="18">
        <f>(17/17)*100%</f>
        <v>1</v>
      </c>
      <c r="N30" s="112"/>
      <c r="O30" s="54"/>
      <c r="P30" s="18" t="s">
        <v>243</v>
      </c>
      <c r="Q30" s="18">
        <f>+(23/23)*100%</f>
        <v>1</v>
      </c>
      <c r="R30" s="112"/>
      <c r="S30" s="54"/>
      <c r="T30" s="18"/>
      <c r="U30" s="18"/>
      <c r="V30" s="112"/>
      <c r="W30" s="54"/>
      <c r="X30" s="19" t="s">
        <v>21</v>
      </c>
      <c r="Y30" s="20" t="s">
        <v>22</v>
      </c>
      <c r="Z30" s="20" t="s">
        <v>23</v>
      </c>
      <c r="AA30" s="34" t="s">
        <v>89</v>
      </c>
      <c r="AB30" s="20" t="s">
        <v>28</v>
      </c>
      <c r="AC30" s="20" t="s">
        <v>25</v>
      </c>
    </row>
    <row r="31" spans="1:32" s="36" customFormat="1" ht="82.5" customHeight="1" x14ac:dyDescent="0.35">
      <c r="A31" s="104"/>
      <c r="B31" s="114"/>
      <c r="C31" s="115"/>
      <c r="D31" s="89"/>
      <c r="E31" s="11">
        <v>29</v>
      </c>
      <c r="F31" s="44" t="s">
        <v>90</v>
      </c>
      <c r="G31" s="38">
        <v>1</v>
      </c>
      <c r="H31" s="47" t="s">
        <v>165</v>
      </c>
      <c r="I31" s="18">
        <f>(220/339)*100%</f>
        <v>0.64896755162241893</v>
      </c>
      <c r="J31" s="112"/>
      <c r="K31" s="54"/>
      <c r="L31" s="18" t="s">
        <v>244</v>
      </c>
      <c r="M31" s="18">
        <f>(7/7)*100%</f>
        <v>1</v>
      </c>
      <c r="N31" s="112"/>
      <c r="O31" s="54"/>
      <c r="P31" s="18" t="s">
        <v>245</v>
      </c>
      <c r="Q31" s="18">
        <f>+(42/46)*100%</f>
        <v>0.91304347826086951</v>
      </c>
      <c r="R31" s="112"/>
      <c r="S31" s="54"/>
      <c r="T31" s="18"/>
      <c r="U31" s="18"/>
      <c r="V31" s="112"/>
      <c r="W31" s="54"/>
      <c r="X31" s="19" t="s">
        <v>21</v>
      </c>
      <c r="Y31" s="20" t="s">
        <v>22</v>
      </c>
      <c r="Z31" s="20" t="s">
        <v>23</v>
      </c>
      <c r="AA31" s="34" t="s">
        <v>91</v>
      </c>
      <c r="AB31" s="20" t="s">
        <v>24</v>
      </c>
      <c r="AC31" s="20" t="s">
        <v>25</v>
      </c>
    </row>
    <row r="32" spans="1:32" ht="69" customHeight="1" x14ac:dyDescent="0.35">
      <c r="A32" s="104"/>
      <c r="B32" s="114"/>
      <c r="C32" s="115"/>
      <c r="D32" s="89"/>
      <c r="E32" s="11">
        <v>30</v>
      </c>
      <c r="F32" s="44" t="s">
        <v>92</v>
      </c>
      <c r="G32" s="17">
        <v>0.93700000000000006</v>
      </c>
      <c r="H32" s="18" t="s">
        <v>223</v>
      </c>
      <c r="I32" s="18">
        <f>(2/4)*100%</f>
        <v>0.5</v>
      </c>
      <c r="J32" s="113"/>
      <c r="K32" s="54"/>
      <c r="L32" s="18" t="s">
        <v>246</v>
      </c>
      <c r="M32" s="18">
        <f>(28/60)*100%</f>
        <v>0.46666666666666667</v>
      </c>
      <c r="N32" s="113"/>
      <c r="O32" s="54"/>
      <c r="P32" s="18" t="s">
        <v>247</v>
      </c>
      <c r="Q32" s="18">
        <f>+(39/48)*100%</f>
        <v>0.8125</v>
      </c>
      <c r="R32" s="113"/>
      <c r="S32" s="54"/>
      <c r="T32" s="18"/>
      <c r="U32" s="18"/>
      <c r="V32" s="113"/>
      <c r="W32" s="54"/>
      <c r="X32" s="19" t="s">
        <v>21</v>
      </c>
      <c r="Y32" s="20" t="s">
        <v>22</v>
      </c>
      <c r="Z32" s="20" t="s">
        <v>23</v>
      </c>
      <c r="AA32" s="34" t="s">
        <v>93</v>
      </c>
      <c r="AB32" s="20" t="s">
        <v>28</v>
      </c>
      <c r="AC32" s="20" t="s">
        <v>25</v>
      </c>
    </row>
    <row r="33" spans="1:29" ht="98.15" customHeight="1" x14ac:dyDescent="0.35">
      <c r="A33" s="104"/>
      <c r="B33" s="114"/>
      <c r="C33" s="119" t="s">
        <v>94</v>
      </c>
      <c r="D33" s="89" t="s">
        <v>37</v>
      </c>
      <c r="E33" s="11">
        <v>31</v>
      </c>
      <c r="F33" s="44" t="s">
        <v>95</v>
      </c>
      <c r="G33" s="17">
        <v>1</v>
      </c>
      <c r="H33" s="48" t="s">
        <v>166</v>
      </c>
      <c r="I33" s="48">
        <f>(33%/100)*100</f>
        <v>0.33</v>
      </c>
      <c r="J33" s="117">
        <f>IFERROR(AVERAGE(I33:I34), )</f>
        <v>0.53038461538461534</v>
      </c>
      <c r="K33" s="55" t="s">
        <v>167</v>
      </c>
      <c r="L33" s="15" t="s">
        <v>248</v>
      </c>
      <c r="M33" s="15">
        <f>(67%/100)*100</f>
        <v>0.67</v>
      </c>
      <c r="N33" s="117">
        <f>IFERROR(AVERAGE(M33:M34), )</f>
        <v>0.83499999999999996</v>
      </c>
      <c r="O33" s="55" t="s">
        <v>167</v>
      </c>
      <c r="P33" s="48" t="s">
        <v>249</v>
      </c>
      <c r="Q33" s="48">
        <f>(72.58%/100)*100</f>
        <v>0.7258</v>
      </c>
      <c r="R33" s="117">
        <f>IFERROR(AVERAGE(Q33:Q34), )</f>
        <v>0.8629</v>
      </c>
      <c r="S33" s="55" t="s">
        <v>167</v>
      </c>
      <c r="T33" s="27"/>
      <c r="U33" s="27"/>
      <c r="V33" s="117">
        <f>IFERROR(AVERAGE(U33:U34), )</f>
        <v>0</v>
      </c>
      <c r="W33" s="55" t="s">
        <v>167</v>
      </c>
      <c r="X33" s="19" t="s">
        <v>21</v>
      </c>
      <c r="Y33" s="20" t="s">
        <v>22</v>
      </c>
      <c r="Z33" s="13" t="s">
        <v>26</v>
      </c>
      <c r="AA33" s="33" t="s">
        <v>96</v>
      </c>
      <c r="AB33" s="13" t="s">
        <v>28</v>
      </c>
      <c r="AC33" s="20" t="s">
        <v>25</v>
      </c>
    </row>
    <row r="34" spans="1:29" ht="51" customHeight="1" x14ac:dyDescent="0.35">
      <c r="A34" s="104"/>
      <c r="B34" s="114"/>
      <c r="C34" s="120"/>
      <c r="D34" s="89"/>
      <c r="E34" s="11">
        <v>32</v>
      </c>
      <c r="F34" s="44" t="s">
        <v>97</v>
      </c>
      <c r="G34" s="17">
        <v>1</v>
      </c>
      <c r="H34" s="15" t="s">
        <v>168</v>
      </c>
      <c r="I34" s="15">
        <f>(38/52)*100%</f>
        <v>0.73076923076923073</v>
      </c>
      <c r="J34" s="118"/>
      <c r="K34" s="15"/>
      <c r="L34" s="15" t="s">
        <v>250</v>
      </c>
      <c r="M34" s="15">
        <f>(39/39)*100%</f>
        <v>1</v>
      </c>
      <c r="N34" s="118"/>
      <c r="O34" s="15"/>
      <c r="P34" s="48" t="s">
        <v>251</v>
      </c>
      <c r="Q34" s="48">
        <f>(30/30)*100%</f>
        <v>1</v>
      </c>
      <c r="R34" s="118"/>
      <c r="S34" s="15"/>
      <c r="T34" s="27"/>
      <c r="U34" s="27"/>
      <c r="V34" s="118"/>
      <c r="W34" s="15"/>
      <c r="X34" s="19" t="s">
        <v>21</v>
      </c>
      <c r="Y34" s="20" t="s">
        <v>22</v>
      </c>
      <c r="Z34" s="13" t="s">
        <v>26</v>
      </c>
      <c r="AA34" s="33" t="s">
        <v>169</v>
      </c>
      <c r="AB34" s="13" t="s">
        <v>28</v>
      </c>
      <c r="AC34" s="20" t="s">
        <v>25</v>
      </c>
    </row>
    <row r="35" spans="1:29" ht="116.15" customHeight="1" x14ac:dyDescent="0.35">
      <c r="A35" s="104"/>
      <c r="B35" s="114"/>
      <c r="C35" s="119" t="s">
        <v>98</v>
      </c>
      <c r="D35" s="89"/>
      <c r="E35" s="11">
        <v>33</v>
      </c>
      <c r="F35" s="44" t="s">
        <v>99</v>
      </c>
      <c r="G35" s="17">
        <v>1</v>
      </c>
      <c r="H35" s="15" t="s">
        <v>142</v>
      </c>
      <c r="I35" s="15" t="s">
        <v>22</v>
      </c>
      <c r="J35" s="90">
        <f>IFERROR(AVERAGE(I35:I36), )</f>
        <v>0.28399999999999997</v>
      </c>
      <c r="K35" s="15" t="s">
        <v>170</v>
      </c>
      <c r="L35" s="15" t="s">
        <v>252</v>
      </c>
      <c r="M35" s="15">
        <f>(12/13)*100%</f>
        <v>0.92307692307692313</v>
      </c>
      <c r="N35" s="90">
        <f>IFERROR(AVERAGE(M35:M36), )</f>
        <v>0.70349498327759208</v>
      </c>
      <c r="O35" s="15" t="s">
        <v>170</v>
      </c>
      <c r="P35" s="15" t="s">
        <v>253</v>
      </c>
      <c r="Q35" s="15">
        <f>(6/6)*100%</f>
        <v>1</v>
      </c>
      <c r="R35" s="90">
        <f>IFERROR(AVERAGE(Q35:Q36), )</f>
        <v>0.88413043478260867</v>
      </c>
      <c r="S35" s="15" t="s">
        <v>170</v>
      </c>
      <c r="T35" s="27"/>
      <c r="U35" s="27"/>
      <c r="V35" s="90">
        <f>IFERROR(AVERAGE(U35:U36), )</f>
        <v>0</v>
      </c>
      <c r="W35" s="15" t="s">
        <v>170</v>
      </c>
      <c r="X35" s="19" t="s">
        <v>21</v>
      </c>
      <c r="Y35" s="20" t="s">
        <v>22</v>
      </c>
      <c r="Z35" s="20" t="s">
        <v>23</v>
      </c>
      <c r="AA35" s="33" t="s">
        <v>171</v>
      </c>
      <c r="AB35" s="16" t="s">
        <v>28</v>
      </c>
      <c r="AC35" s="16" t="s">
        <v>25</v>
      </c>
    </row>
    <row r="36" spans="1:29" ht="72.650000000000006" customHeight="1" x14ac:dyDescent="0.35">
      <c r="A36" s="104"/>
      <c r="B36" s="114"/>
      <c r="C36" s="120"/>
      <c r="D36" s="89"/>
      <c r="E36" s="11">
        <v>34</v>
      </c>
      <c r="F36" s="44" t="s">
        <v>100</v>
      </c>
      <c r="G36" s="17">
        <v>1</v>
      </c>
      <c r="H36" s="15" t="s">
        <v>172</v>
      </c>
      <c r="I36" s="15">
        <f>(710% /25) *100%</f>
        <v>0.28399999999999997</v>
      </c>
      <c r="J36" s="92"/>
      <c r="K36" s="15"/>
      <c r="L36" s="15" t="s">
        <v>254</v>
      </c>
      <c r="M36" s="15">
        <f>(1113%/23)*100%</f>
        <v>0.48391304347826092</v>
      </c>
      <c r="N36" s="92"/>
      <c r="O36" s="15"/>
      <c r="P36" s="15" t="s">
        <v>255</v>
      </c>
      <c r="Q36" s="15">
        <f>(1767%/23)*100%</f>
        <v>0.76826086956521744</v>
      </c>
      <c r="R36" s="92"/>
      <c r="S36" s="15"/>
      <c r="T36" s="27"/>
      <c r="U36" s="27"/>
      <c r="V36" s="92"/>
      <c r="W36" s="15"/>
      <c r="X36" s="19" t="s">
        <v>21</v>
      </c>
      <c r="Y36" s="20" t="s">
        <v>22</v>
      </c>
      <c r="Z36" s="13" t="s">
        <v>26</v>
      </c>
      <c r="AA36" s="33" t="s">
        <v>173</v>
      </c>
      <c r="AB36" s="16" t="s">
        <v>28</v>
      </c>
      <c r="AC36" s="16" t="s">
        <v>25</v>
      </c>
    </row>
    <row r="37" spans="1:29" ht="73.5" customHeight="1" x14ac:dyDescent="0.35">
      <c r="A37" s="104"/>
      <c r="B37" s="114"/>
      <c r="C37" s="115" t="s">
        <v>101</v>
      </c>
      <c r="D37" s="89"/>
      <c r="E37" s="11">
        <v>35</v>
      </c>
      <c r="F37" s="44" t="s">
        <v>102</v>
      </c>
      <c r="G37" s="17">
        <v>1</v>
      </c>
      <c r="H37" s="49" t="s">
        <v>174</v>
      </c>
      <c r="I37" s="64">
        <f>(22876798368/38865190000)*100%</f>
        <v>0.58861923402407146</v>
      </c>
      <c r="J37" s="122">
        <f>IFERROR(AVERAGE(I37:I39), )</f>
        <v>0.58404172015184608</v>
      </c>
      <c r="K37" s="15"/>
      <c r="L37" s="15" t="s">
        <v>256</v>
      </c>
      <c r="M37" s="15">
        <f>(26970108854/38865190000)* 100%</f>
        <v>0.69393997183597966</v>
      </c>
      <c r="N37" s="122">
        <f>IFERROR(AVERAGE(M37:M39), )</f>
        <v>0.72021965107378361</v>
      </c>
      <c r="O37" s="15"/>
      <c r="P37" s="48" t="s">
        <v>257</v>
      </c>
      <c r="Q37" s="15">
        <f>(34047595523/39665190000)* 100%</f>
        <v>0.85837469889845475</v>
      </c>
      <c r="R37" s="122">
        <f>IFERROR(AVERAGE(Q37:Q39), )</f>
        <v>0.86909342530924005</v>
      </c>
      <c r="S37" s="15"/>
      <c r="T37" s="27"/>
      <c r="U37" s="27"/>
      <c r="V37" s="122">
        <f>IFERROR(AVERAGE(U37:U39), )</f>
        <v>0</v>
      </c>
      <c r="W37" s="15"/>
      <c r="X37" s="21" t="s">
        <v>21</v>
      </c>
      <c r="Y37" s="21" t="s">
        <v>22</v>
      </c>
      <c r="Z37" s="13" t="s">
        <v>26</v>
      </c>
      <c r="AA37" s="33" t="s">
        <v>175</v>
      </c>
      <c r="AB37" s="13" t="s">
        <v>24</v>
      </c>
      <c r="AC37" s="13" t="s">
        <v>25</v>
      </c>
    </row>
    <row r="38" spans="1:29" ht="111.65" customHeight="1" x14ac:dyDescent="0.35">
      <c r="A38" s="104"/>
      <c r="B38" s="114"/>
      <c r="C38" s="115"/>
      <c r="D38" s="89"/>
      <c r="E38" s="11">
        <v>36</v>
      </c>
      <c r="F38" s="44" t="s">
        <v>103</v>
      </c>
      <c r="G38" s="17">
        <v>1</v>
      </c>
      <c r="H38" s="15" t="s">
        <v>176</v>
      </c>
      <c r="I38" s="15">
        <f>(10%+3.5%+3.5%+3.5%+5%)/(40%+15%+15%+15%+15%)</f>
        <v>0.255</v>
      </c>
      <c r="J38" s="123"/>
      <c r="K38" s="56" t="s">
        <v>177</v>
      </c>
      <c r="L38" s="15" t="s">
        <v>258</v>
      </c>
      <c r="M38" s="15">
        <f>(22.8%+9.4%+8.4%+7.5%+7.5%)/(40%+15%+15%+15%+15%)*100%</f>
        <v>0.55600000000000005</v>
      </c>
      <c r="N38" s="123"/>
      <c r="O38" s="56" t="s">
        <v>177</v>
      </c>
      <c r="P38" s="18" t="s">
        <v>259</v>
      </c>
      <c r="Q38" s="18">
        <f>(32.8%+13.5%+15%+12.15%+10.35%)/
(40%+15%+15%+15%+15%)*100%</f>
        <v>0.83799999999999997</v>
      </c>
      <c r="R38" s="123"/>
      <c r="S38" s="56" t="s">
        <v>177</v>
      </c>
      <c r="T38" s="15"/>
      <c r="U38" s="15"/>
      <c r="V38" s="123"/>
      <c r="W38" s="56" t="s">
        <v>177</v>
      </c>
      <c r="X38" s="21" t="s">
        <v>21</v>
      </c>
      <c r="Y38" s="21" t="s">
        <v>22</v>
      </c>
      <c r="Z38" s="13" t="s">
        <v>26</v>
      </c>
      <c r="AA38" s="33" t="s">
        <v>178</v>
      </c>
      <c r="AB38" s="16" t="s">
        <v>28</v>
      </c>
      <c r="AC38" s="16" t="s">
        <v>25</v>
      </c>
    </row>
    <row r="39" spans="1:29" ht="85.5" customHeight="1" x14ac:dyDescent="0.35">
      <c r="A39" s="104"/>
      <c r="B39" s="114"/>
      <c r="C39" s="115"/>
      <c r="D39" s="89"/>
      <c r="E39" s="11">
        <v>37</v>
      </c>
      <c r="F39" s="44" t="s">
        <v>104</v>
      </c>
      <c r="G39" s="17">
        <v>0.91</v>
      </c>
      <c r="H39" s="15" t="s">
        <v>260</v>
      </c>
      <c r="I39" s="15">
        <f>(65228/71797)*100%</f>
        <v>0.90850592643146655</v>
      </c>
      <c r="J39" s="124"/>
      <c r="K39" s="50"/>
      <c r="L39" s="15" t="s">
        <v>261</v>
      </c>
      <c r="M39" s="15">
        <f>(65804/72255)*100%</f>
        <v>0.91071898138537122</v>
      </c>
      <c r="N39" s="124"/>
      <c r="O39" s="50"/>
      <c r="P39" s="48" t="s">
        <v>262</v>
      </c>
      <c r="Q39" s="48">
        <f>(65986/72440)*100%</f>
        <v>0.91090557702926556</v>
      </c>
      <c r="R39" s="124"/>
      <c r="S39" s="50"/>
      <c r="T39" s="15"/>
      <c r="U39" s="15"/>
      <c r="V39" s="124"/>
      <c r="W39" s="50"/>
      <c r="X39" s="21" t="s">
        <v>21</v>
      </c>
      <c r="Y39" s="21" t="s">
        <v>22</v>
      </c>
      <c r="Z39" s="13" t="s">
        <v>26</v>
      </c>
      <c r="AA39" s="33" t="s">
        <v>189</v>
      </c>
      <c r="AB39" s="16" t="s">
        <v>28</v>
      </c>
      <c r="AC39" s="16" t="s">
        <v>25</v>
      </c>
    </row>
    <row r="40" spans="1:29" ht="69" customHeight="1" x14ac:dyDescent="0.35">
      <c r="A40" s="104" t="s">
        <v>16</v>
      </c>
      <c r="B40" s="121" t="s">
        <v>105</v>
      </c>
      <c r="C40" s="22" t="s">
        <v>106</v>
      </c>
      <c r="D40" s="13" t="s">
        <v>107</v>
      </c>
      <c r="E40" s="11">
        <v>38</v>
      </c>
      <c r="F40" s="44" t="s">
        <v>108</v>
      </c>
      <c r="G40" s="17">
        <v>1</v>
      </c>
      <c r="H40" s="25" t="s">
        <v>179</v>
      </c>
      <c r="I40" s="63">
        <f>(17/17)*100%</f>
        <v>1</v>
      </c>
      <c r="J40" s="63">
        <f>IFERROR(AVERAGE(I40), )</f>
        <v>1</v>
      </c>
      <c r="K40" s="12"/>
      <c r="L40" s="25" t="s">
        <v>263</v>
      </c>
      <c r="M40" s="15">
        <f>(22/22)*100%</f>
        <v>1</v>
      </c>
      <c r="N40" s="63">
        <f>IFERROR(AVERAGE(M40), )</f>
        <v>1</v>
      </c>
      <c r="O40" s="12"/>
      <c r="P40" s="76" t="s">
        <v>179</v>
      </c>
      <c r="Q40" s="76">
        <f>(17/17)*100%</f>
        <v>1</v>
      </c>
      <c r="R40" s="63">
        <f>IFERROR(AVERAGE(Q40), )</f>
        <v>1</v>
      </c>
      <c r="S40" s="12"/>
      <c r="T40" s="15"/>
      <c r="U40" s="15"/>
      <c r="V40" s="63">
        <f>IFERROR(AVERAGE(U40), )</f>
        <v>0</v>
      </c>
      <c r="W40" s="12"/>
      <c r="X40" s="21" t="s">
        <v>21</v>
      </c>
      <c r="Y40" s="21">
        <v>1</v>
      </c>
      <c r="Z40" s="21" t="s">
        <v>23</v>
      </c>
      <c r="AA40" s="33" t="s">
        <v>180</v>
      </c>
      <c r="AB40" s="13" t="s">
        <v>28</v>
      </c>
      <c r="AC40" s="13" t="s">
        <v>56</v>
      </c>
    </row>
    <row r="41" spans="1:29" ht="71.25" customHeight="1" x14ac:dyDescent="0.35">
      <c r="A41" s="104"/>
      <c r="B41" s="121"/>
      <c r="C41" s="22" t="s">
        <v>109</v>
      </c>
      <c r="D41" s="13" t="s">
        <v>110</v>
      </c>
      <c r="E41" s="11">
        <v>39</v>
      </c>
      <c r="F41" s="44" t="s">
        <v>111</v>
      </c>
      <c r="G41" s="17">
        <v>1</v>
      </c>
      <c r="H41" s="25" t="s">
        <v>181</v>
      </c>
      <c r="I41" s="63">
        <f>(8/8)*100%</f>
        <v>1</v>
      </c>
      <c r="J41" s="63">
        <f>IFERROR(AVERAGE(I41), )</f>
        <v>1</v>
      </c>
      <c r="K41" s="12"/>
      <c r="L41" s="25" t="s">
        <v>181</v>
      </c>
      <c r="M41" s="63">
        <f>(8/8)*100%</f>
        <v>1</v>
      </c>
      <c r="N41" s="63">
        <f>IFERROR(AVERAGE(M41), )</f>
        <v>1</v>
      </c>
      <c r="O41" s="12"/>
      <c r="P41" s="25" t="s">
        <v>264</v>
      </c>
      <c r="Q41" s="63">
        <f>(8/8)*100%</f>
        <v>1</v>
      </c>
      <c r="R41" s="63">
        <f>IFERROR(AVERAGE(Q41), )</f>
        <v>1</v>
      </c>
      <c r="S41" s="12"/>
      <c r="T41" s="12"/>
      <c r="U41" s="12"/>
      <c r="V41" s="63">
        <f>IFERROR(AVERAGE(U41), )</f>
        <v>0</v>
      </c>
      <c r="W41" s="12"/>
      <c r="X41" s="13" t="s">
        <v>21</v>
      </c>
      <c r="Y41" s="21" t="s">
        <v>22</v>
      </c>
      <c r="Z41" s="13" t="s">
        <v>23</v>
      </c>
      <c r="AA41" s="33" t="s">
        <v>182</v>
      </c>
      <c r="AB41" s="13" t="s">
        <v>28</v>
      </c>
      <c r="AC41" s="13" t="s">
        <v>25</v>
      </c>
    </row>
    <row r="42" spans="1:29" ht="99" customHeight="1" x14ac:dyDescent="0.35">
      <c r="A42" s="104"/>
      <c r="B42" s="121"/>
      <c r="C42" s="61" t="s">
        <v>112</v>
      </c>
      <c r="D42" s="13" t="s">
        <v>37</v>
      </c>
      <c r="E42" s="11">
        <v>40</v>
      </c>
      <c r="F42" s="44" t="s">
        <v>190</v>
      </c>
      <c r="G42" s="17">
        <v>1</v>
      </c>
      <c r="H42" s="46" t="s">
        <v>183</v>
      </c>
      <c r="I42" s="15">
        <f>(3/3)*100%</f>
        <v>1</v>
      </c>
      <c r="J42" s="65">
        <f>IFERROR(AVERAGE(I42:I42), )</f>
        <v>1</v>
      </c>
      <c r="K42" s="12" t="s">
        <v>265</v>
      </c>
      <c r="L42" s="46" t="s">
        <v>183</v>
      </c>
      <c r="M42" s="46">
        <f>(3/3)*100%</f>
        <v>1</v>
      </c>
      <c r="N42" s="65">
        <f>IFERROR(AVERAGE(M42:M42), )</f>
        <v>1</v>
      </c>
      <c r="O42" s="12" t="s">
        <v>265</v>
      </c>
      <c r="P42" s="74" t="s">
        <v>241</v>
      </c>
      <c r="Q42" s="75">
        <f>(7/7)*100%</f>
        <v>1</v>
      </c>
      <c r="R42" s="65">
        <f>IFERROR(AVERAGE(Q42:Q42), )</f>
        <v>1</v>
      </c>
      <c r="S42" s="12" t="s">
        <v>265</v>
      </c>
      <c r="T42" s="12"/>
      <c r="U42" s="12"/>
      <c r="V42" s="65">
        <f>IFERROR(AVERAGE(U42:U42), )</f>
        <v>0</v>
      </c>
      <c r="W42" s="12" t="s">
        <v>265</v>
      </c>
      <c r="X42" s="13" t="s">
        <v>21</v>
      </c>
      <c r="Y42" s="21" t="s">
        <v>22</v>
      </c>
      <c r="Z42" s="13" t="s">
        <v>26</v>
      </c>
      <c r="AA42" s="33" t="s">
        <v>184</v>
      </c>
      <c r="AB42" s="13" t="s">
        <v>28</v>
      </c>
      <c r="AC42" s="13" t="s">
        <v>113</v>
      </c>
    </row>
    <row r="43" spans="1:29" ht="71.25" customHeight="1" x14ac:dyDescent="0.35">
      <c r="A43" s="66"/>
      <c r="B43" s="66"/>
      <c r="C43" s="66"/>
      <c r="D43" s="66"/>
      <c r="E43" s="66"/>
      <c r="F43" s="66"/>
      <c r="G43" s="17" t="s">
        <v>185</v>
      </c>
      <c r="H43" s="66"/>
      <c r="I43" s="15">
        <f>IFERROR(AVERAGE(I3:I42), )</f>
        <v>0.69601835945271362</v>
      </c>
      <c r="J43" s="15">
        <f>IFERROR(AVERAGE(J3:J42), )</f>
        <v>0.65073117930312574</v>
      </c>
      <c r="K43" s="66"/>
      <c r="L43" s="66"/>
      <c r="M43" s="15">
        <f>IFERROR(AVERAGE(M3:M42), )</f>
        <v>0.79889610071923578</v>
      </c>
      <c r="N43" s="15">
        <f>IFERROR(AVERAGE(N3:N42), )</f>
        <v>0.81092066906787941</v>
      </c>
      <c r="O43" s="66"/>
      <c r="P43" s="66"/>
      <c r="Q43" s="15">
        <f>IFERROR(AVERAGE(Q3:Q42), )</f>
        <v>0.88320005789072853</v>
      </c>
      <c r="R43" s="15">
        <f>IFERROR(AVERAGE(R3:R42), )</f>
        <v>0.89171544491414134</v>
      </c>
      <c r="S43" s="66"/>
      <c r="T43" s="66"/>
      <c r="U43" s="15">
        <f>IFERROR(AVERAGE(U3:U42), )</f>
        <v>0</v>
      </c>
      <c r="V43" s="15">
        <f>IFERROR(AVERAGE(V3:V42), )</f>
        <v>0</v>
      </c>
      <c r="W43" s="66"/>
      <c r="X43" s="67"/>
      <c r="Y43" s="68"/>
      <c r="Z43" s="67"/>
      <c r="AA43" s="69"/>
      <c r="AB43" s="67"/>
      <c r="AC43" s="67"/>
    </row>
    <row r="44" spans="1:29" x14ac:dyDescent="0.35">
      <c r="A44" s="23" t="s">
        <v>114</v>
      </c>
      <c r="B44" s="4" t="s">
        <v>115</v>
      </c>
      <c r="E44" s="6"/>
      <c r="AC44" s="60" t="s">
        <v>116</v>
      </c>
    </row>
    <row r="45" spans="1:29" x14ac:dyDescent="0.35">
      <c r="A45" s="23" t="s">
        <v>117</v>
      </c>
      <c r="B45" s="24" t="s">
        <v>118</v>
      </c>
    </row>
    <row r="46" spans="1:29" x14ac:dyDescent="0.35">
      <c r="A46" s="23" t="s">
        <v>119</v>
      </c>
      <c r="B46" s="4" t="s">
        <v>120</v>
      </c>
    </row>
  </sheetData>
  <mergeCells count="82">
    <mergeCell ref="A40:A42"/>
    <mergeCell ref="B40:B42"/>
    <mergeCell ref="V35:V36"/>
    <mergeCell ref="C37:C39"/>
    <mergeCell ref="J37:J39"/>
    <mergeCell ref="N37:N39"/>
    <mergeCell ref="R37:R39"/>
    <mergeCell ref="V37:V39"/>
    <mergeCell ref="V33:V34"/>
    <mergeCell ref="C35:C36"/>
    <mergeCell ref="J35:J36"/>
    <mergeCell ref="N35:N36"/>
    <mergeCell ref="R35:R36"/>
    <mergeCell ref="C33:C34"/>
    <mergeCell ref="D33:D39"/>
    <mergeCell ref="J33:J34"/>
    <mergeCell ref="N33:N34"/>
    <mergeCell ref="R33:R34"/>
    <mergeCell ref="C28:C32"/>
    <mergeCell ref="D28:D32"/>
    <mergeCell ref="J28:J32"/>
    <mergeCell ref="N28:N32"/>
    <mergeCell ref="R28:R32"/>
    <mergeCell ref="V28:V32"/>
    <mergeCell ref="V22:V23"/>
    <mergeCell ref="A24:A27"/>
    <mergeCell ref="B24:B39"/>
    <mergeCell ref="C24:C27"/>
    <mergeCell ref="D24:D27"/>
    <mergeCell ref="J24:J27"/>
    <mergeCell ref="N24:N27"/>
    <mergeCell ref="R24:R27"/>
    <mergeCell ref="V24:V27"/>
    <mergeCell ref="A28:A39"/>
    <mergeCell ref="A22:A23"/>
    <mergeCell ref="C22:C23"/>
    <mergeCell ref="D22:D23"/>
    <mergeCell ref="J22:J23"/>
    <mergeCell ref="N22:N23"/>
    <mergeCell ref="R22:R23"/>
    <mergeCell ref="D15:D21"/>
    <mergeCell ref="J15:J21"/>
    <mergeCell ref="N15:N21"/>
    <mergeCell ref="R15:R21"/>
    <mergeCell ref="V3:V7"/>
    <mergeCell ref="R8:R10"/>
    <mergeCell ref="V8:V10"/>
    <mergeCell ref="V15:V21"/>
    <mergeCell ref="A16:A21"/>
    <mergeCell ref="V11:V12"/>
    <mergeCell ref="A13:A14"/>
    <mergeCell ref="B13:B23"/>
    <mergeCell ref="C13:C14"/>
    <mergeCell ref="D13:D14"/>
    <mergeCell ref="J13:J14"/>
    <mergeCell ref="N13:N14"/>
    <mergeCell ref="R13:R14"/>
    <mergeCell ref="V13:V14"/>
    <mergeCell ref="C15:C21"/>
    <mergeCell ref="A11:A12"/>
    <mergeCell ref="N8:N10"/>
    <mergeCell ref="N11:N12"/>
    <mergeCell ref="R11:R12"/>
    <mergeCell ref="N3:N7"/>
    <mergeCell ref="R3:R7"/>
    <mergeCell ref="A1:F1"/>
    <mergeCell ref="G1:G2"/>
    <mergeCell ref="H1:W1"/>
    <mergeCell ref="X1:AC1"/>
    <mergeCell ref="B2:C2"/>
    <mergeCell ref="A3:A4"/>
    <mergeCell ref="B3:B12"/>
    <mergeCell ref="C3:C7"/>
    <mergeCell ref="D3:D6"/>
    <mergeCell ref="J3:J7"/>
    <mergeCell ref="A5:A10"/>
    <mergeCell ref="C8:C10"/>
    <mergeCell ref="D8:D10"/>
    <mergeCell ref="J8:J10"/>
    <mergeCell ref="C11:C12"/>
    <mergeCell ref="D11:D12"/>
    <mergeCell ref="J11:J12"/>
  </mergeCells>
  <printOptions horizontalCentered="1"/>
  <pageMargins left="0.39370078740157483" right="0.39370078740157483" top="0.39370078740157483" bottom="0.39370078740157483" header="0" footer="0"/>
  <pageSetup scale="21" orientation="portrait" r:id="rId1"/>
  <headerFooter>
    <oddHeader xml:space="preserve">&amp;C 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7d198d-ce2d-4089-b971-a4560e405573">
      <Terms xmlns="http://schemas.microsoft.com/office/infopath/2007/PartnerControls"/>
    </lcf76f155ced4ddcb4097134ff3c332f>
    <TaxCatchAll xmlns="54feb777-8c2a-4440-8142-7764fcd4b27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326445EB563C4490206962DF13F12B" ma:contentTypeVersion="16" ma:contentTypeDescription="Crear nuevo documento." ma:contentTypeScope="" ma:versionID="08b11de7d30052a92bd1502b93e1f56a">
  <xsd:schema xmlns:xsd="http://www.w3.org/2001/XMLSchema" xmlns:xs="http://www.w3.org/2001/XMLSchema" xmlns:p="http://schemas.microsoft.com/office/2006/metadata/properties" xmlns:ns2="647d198d-ce2d-4089-b971-a4560e405573" xmlns:ns3="54feb777-8c2a-4440-8142-7764fcd4b27f" targetNamespace="http://schemas.microsoft.com/office/2006/metadata/properties" ma:root="true" ma:fieldsID="fb4824a7ee9ff9430ef4ec39b28aad46" ns2:_="" ns3:_="">
    <xsd:import namespace="647d198d-ce2d-4089-b971-a4560e405573"/>
    <xsd:import namespace="54feb777-8c2a-4440-8142-7764fcd4b2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d198d-ce2d-4089-b971-a4560e405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2ed3cf9b-5c39-45b0-81a8-e708307ed6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eb777-8c2a-4440-8142-7764fcd4b2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20e257-dc98-42b3-acca-33cc8b93de65}" ma:internalName="TaxCatchAll" ma:showField="CatchAllData" ma:web="54feb777-8c2a-4440-8142-7764fcd4b2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A5D1BF-B8C5-449C-8369-F7D07BBEF9B3}">
  <ds:schemaRefs>
    <ds:schemaRef ds:uri="54feb777-8c2a-4440-8142-7764fcd4b27f"/>
    <ds:schemaRef ds:uri="647d198d-ce2d-4089-b971-a4560e40557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CA34CF8-8D51-4C6B-83CC-40DC34810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7d198d-ce2d-4089-b971-a4560e405573"/>
    <ds:schemaRef ds:uri="54feb777-8c2a-4440-8142-7764fcd4b2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980D7B-9508-4D85-8638-08AEA80FEC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de Mando Seg 3 Trimestre</vt:lpstr>
      <vt:lpstr>'Cuadro de Mando Seg 3 Trimestre'!Área_de_impresión</vt:lpstr>
      <vt:lpstr>'Cuadro de Mando Seg 3 Trimestre'!Títulos_a_imprimir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Fernando Arango Vargas</dc:creator>
  <cp:keywords/>
  <dc:description/>
  <cp:lastModifiedBy>DADEP</cp:lastModifiedBy>
  <cp:revision/>
  <dcterms:created xsi:type="dcterms:W3CDTF">2018-12-11T15:33:16Z</dcterms:created>
  <dcterms:modified xsi:type="dcterms:W3CDTF">2022-10-25T22:18:01Z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0x01010019326445EB563C4490206962DF13F12B</vt:lpwstr>
  </property>
  <property fmtid="{D5CDD505-2E9C-101B-9397-08002B2CF9AE}" pid="3" name="MediaServiceImageTags">
    <vt:lpwstr/>
  </property>
</Properties>
</file>