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dadepbta.sharepoint.com/sites/OficinaAsesoradePlaneacin/Shared Documents/OAP - EQUIPOS/Equipo MIPG/2022/Indicadores 2022/"/>
    </mc:Choice>
  </mc:AlternateContent>
  <xr:revisionPtr revIDLastSave="1" documentId="13_ncr:1_{59EC2A79-66EC-494E-83ED-125AA99B8CF8}" xr6:coauthVersionLast="47" xr6:coauthVersionMax="47" xr10:uidLastSave="{D6DE60C0-E229-4B7D-A0DD-B78520F40990}"/>
  <bookViews>
    <workbookView xWindow="-110" yWindow="-110" windowWidth="19420" windowHeight="10420" xr2:uid="{421DCB64-D417-4F8D-BA8A-BB05E1A048C1}"/>
  </bookViews>
  <sheets>
    <sheet name="Cuadro de Mando V.3 2022 Seg4T" sheetId="1" r:id="rId1"/>
  </sheets>
  <externalReferences>
    <externalReference r:id="rId2"/>
  </externalReferences>
  <definedNames>
    <definedName name="_xlnm._FilterDatabase" localSheetId="0" hidden="1">'Cuadro de Mando V.3 2022 Seg4T'!$A$2:$AC$44</definedName>
    <definedName name="APLICACIÓN">'[1]Listas Nuevas'!$R$2:$R$4</definedName>
    <definedName name="_xlnm.Print_Area" localSheetId="0">'Cuadro de Mando V.3 2022 Seg4T'!$A$1:$AC$44</definedName>
    <definedName name="CID">'[1]Listas Nuevas'!$AM$3:$AM$9</definedName>
    <definedName name="Contexto_Externo">'[1]Listas Nuevas'!$A$2:$A$8</definedName>
    <definedName name="Contexto_Interno">'[1]Listas Nuevas'!$B$2:$B$7</definedName>
    <definedName name="Contexto_Proceso">'[1]Listas Nuevas'!$C$2:$C$8</definedName>
    <definedName name="Control_Existente">[1]Listas!$F$3:$F$5</definedName>
    <definedName name="EJECUCIÓN">'[1]Listas Nuevas'!$T$2:$T$4</definedName>
    <definedName name="FRECUENCIA">'[1]Listas Nuevas'!$L$2:$L$6</definedName>
    <definedName name="PROCESO">'[1]Listas Nuevas'!$AR$3:$AR$23</definedName>
    <definedName name="Riesgo_de_Corrupción">'[1]Listas Nuevas'!$H$10:$J$10</definedName>
    <definedName name="Riesgo_General">'[1]Listas Nuevas'!$F$11:$J$11</definedName>
    <definedName name="TIPO_CONTROL">'[1]Listas Nuevas'!$P$2:$P$3</definedName>
    <definedName name="TIPO_RIESGO">'[1]Listas Nuevas'!#REF!</definedName>
    <definedName name="TIPOLOGÍA">'[1]Listas Nuevas'!$E$2:$E$11</definedName>
    <definedName name="_xlnm.Print_Titles" localSheetId="0">'Cuadro de Mando V.3 2022 Seg4T'!$1:$2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7" i="1" l="1"/>
  <c r="U26" i="1"/>
  <c r="U25" i="1"/>
  <c r="U24" i="1"/>
  <c r="U5" i="1" l="1"/>
  <c r="U4" i="1"/>
  <c r="U10" i="1"/>
  <c r="U9" i="1"/>
  <c r="U8" i="1"/>
  <c r="U39" i="1" l="1"/>
  <c r="U37" i="1"/>
  <c r="U36" i="1"/>
  <c r="U35" i="1"/>
  <c r="U34" i="1"/>
  <c r="U33" i="1"/>
  <c r="U15" i="1" l="1"/>
  <c r="U32" i="1" l="1"/>
  <c r="U31" i="1"/>
  <c r="U30" i="1"/>
  <c r="U29" i="1"/>
  <c r="U28" i="1"/>
  <c r="U41" i="1" l="1"/>
  <c r="U40" i="1"/>
  <c r="U42" i="1" l="1"/>
  <c r="U13" i="1"/>
  <c r="U14" i="1"/>
  <c r="T14" i="1"/>
  <c r="T13" i="1"/>
  <c r="U12" i="1"/>
  <c r="U11" i="1"/>
  <c r="U3" i="1" l="1"/>
  <c r="V37" i="1"/>
  <c r="V35" i="1"/>
  <c r="T11" i="1"/>
  <c r="V11" i="1" s="1"/>
  <c r="U6" i="1"/>
  <c r="V42" i="1"/>
  <c r="Q42" i="1"/>
  <c r="R42" i="1" s="1"/>
  <c r="M42" i="1"/>
  <c r="N42" i="1" s="1"/>
  <c r="I42" i="1"/>
  <c r="J42" i="1" s="1"/>
  <c r="V41" i="1"/>
  <c r="R41" i="1"/>
  <c r="Q41" i="1"/>
  <c r="M41" i="1"/>
  <c r="N41" i="1" s="1"/>
  <c r="J41" i="1"/>
  <c r="I41" i="1"/>
  <c r="V40" i="1"/>
  <c r="Q40" i="1"/>
  <c r="R40" i="1" s="1"/>
  <c r="M40" i="1"/>
  <c r="N40" i="1" s="1"/>
  <c r="I40" i="1"/>
  <c r="J40" i="1" s="1"/>
  <c r="Q39" i="1"/>
  <c r="M39" i="1"/>
  <c r="I39" i="1"/>
  <c r="Q38" i="1"/>
  <c r="M38" i="1"/>
  <c r="I38" i="1"/>
  <c r="R37" i="1"/>
  <c r="Q37" i="1"/>
  <c r="N37" i="1"/>
  <c r="M37" i="1"/>
  <c r="J37" i="1"/>
  <c r="I37" i="1"/>
  <c r="Q36" i="1"/>
  <c r="M36" i="1"/>
  <c r="N35" i="1" s="1"/>
  <c r="I36" i="1"/>
  <c r="J35" i="1" s="1"/>
  <c r="R35" i="1"/>
  <c r="Q35" i="1"/>
  <c r="M35" i="1"/>
  <c r="Q34" i="1"/>
  <c r="M34" i="1"/>
  <c r="I34" i="1"/>
  <c r="V33" i="1"/>
  <c r="Q33" i="1"/>
  <c r="R33" i="1" s="1"/>
  <c r="M33" i="1"/>
  <c r="N33" i="1" s="1"/>
  <c r="I33" i="1"/>
  <c r="J33" i="1" s="1"/>
  <c r="Q32" i="1"/>
  <c r="M32" i="1"/>
  <c r="I32" i="1"/>
  <c r="Q31" i="1"/>
  <c r="M31" i="1"/>
  <c r="I31" i="1"/>
  <c r="Q30" i="1"/>
  <c r="M30" i="1"/>
  <c r="I30" i="1"/>
  <c r="Q29" i="1"/>
  <c r="M29" i="1"/>
  <c r="I29" i="1"/>
  <c r="J28" i="1" s="1"/>
  <c r="V28" i="1"/>
  <c r="Q28" i="1"/>
  <c r="R28" i="1" s="1"/>
  <c r="N28" i="1"/>
  <c r="M28" i="1"/>
  <c r="I28" i="1"/>
  <c r="Q27" i="1"/>
  <c r="M27" i="1"/>
  <c r="I27" i="1"/>
  <c r="Q26" i="1"/>
  <c r="M26" i="1"/>
  <c r="I26" i="1"/>
  <c r="Q25" i="1"/>
  <c r="M25" i="1"/>
  <c r="I25" i="1"/>
  <c r="V24" i="1"/>
  <c r="Q24" i="1"/>
  <c r="R24" i="1" s="1"/>
  <c r="N24" i="1"/>
  <c r="M24" i="1"/>
  <c r="J24" i="1"/>
  <c r="I24" i="1"/>
  <c r="Q23" i="1"/>
  <c r="M23" i="1"/>
  <c r="I23" i="1"/>
  <c r="V22" i="1"/>
  <c r="R22" i="1"/>
  <c r="Q22" i="1"/>
  <c r="N22" i="1"/>
  <c r="M22" i="1"/>
  <c r="J22" i="1"/>
  <c r="I22" i="1"/>
  <c r="Q21" i="1"/>
  <c r="M21" i="1"/>
  <c r="I21" i="1"/>
  <c r="Q20" i="1"/>
  <c r="M20" i="1"/>
  <c r="I20" i="1"/>
  <c r="Q19" i="1"/>
  <c r="M19" i="1"/>
  <c r="I19" i="1"/>
  <c r="Q18" i="1"/>
  <c r="M18" i="1"/>
  <c r="I18" i="1"/>
  <c r="Q17" i="1"/>
  <c r="M17" i="1"/>
  <c r="I17" i="1"/>
  <c r="Q16" i="1"/>
  <c r="M16" i="1"/>
  <c r="I16" i="1"/>
  <c r="V15" i="1"/>
  <c r="Q15" i="1"/>
  <c r="R15" i="1" s="1"/>
  <c r="M15" i="1"/>
  <c r="N15" i="1" s="1"/>
  <c r="I15" i="1"/>
  <c r="J15" i="1" s="1"/>
  <c r="P14" i="1"/>
  <c r="Q14" i="1" s="1"/>
  <c r="M14" i="1"/>
  <c r="Q13" i="1"/>
  <c r="R13" i="1" s="1"/>
  <c r="P13" i="1"/>
  <c r="M13" i="1"/>
  <c r="N13" i="1" s="1"/>
  <c r="L13" i="1"/>
  <c r="I13" i="1"/>
  <c r="J13" i="1" s="1"/>
  <c r="Q12" i="1"/>
  <c r="M12" i="1"/>
  <c r="I12" i="1"/>
  <c r="L11" i="1"/>
  <c r="P11" i="1" s="1"/>
  <c r="Q11" i="1" s="1"/>
  <c r="R11" i="1" s="1"/>
  <c r="I11" i="1"/>
  <c r="J11" i="1" s="1"/>
  <c r="Q10" i="1"/>
  <c r="M10" i="1"/>
  <c r="I10" i="1"/>
  <c r="Q9" i="1"/>
  <c r="M9" i="1"/>
  <c r="I9" i="1"/>
  <c r="V8" i="1"/>
  <c r="Q8" i="1"/>
  <c r="R8" i="1" s="1"/>
  <c r="N8" i="1"/>
  <c r="M8" i="1"/>
  <c r="J8" i="1"/>
  <c r="I8" i="1"/>
  <c r="Q7" i="1"/>
  <c r="M7" i="1"/>
  <c r="I7" i="1"/>
  <c r="Q6" i="1"/>
  <c r="M6" i="1"/>
  <c r="I6" i="1"/>
  <c r="Q5" i="1"/>
  <c r="M5" i="1"/>
  <c r="I5" i="1"/>
  <c r="Q4" i="1"/>
  <c r="M4" i="1"/>
  <c r="I4" i="1"/>
  <c r="I3" i="1" s="1"/>
  <c r="Q3" i="1" l="1"/>
  <c r="Q43" i="1" s="1"/>
  <c r="V13" i="1"/>
  <c r="J3" i="1"/>
  <c r="J43" i="1" s="1"/>
  <c r="I43" i="1"/>
  <c r="M3" i="1"/>
  <c r="M11" i="1"/>
  <c r="N11" i="1" s="1"/>
  <c r="R3" i="1" l="1"/>
  <c r="R43" i="1" s="1"/>
  <c r="V3" i="1"/>
  <c r="V43" i="1" s="1"/>
  <c r="U43" i="1"/>
  <c r="M43" i="1"/>
  <c r="N3" i="1"/>
  <c r="N4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Fernando Arango Vargas</author>
  </authors>
  <commentList>
    <comment ref="D2" authorId="0" shapeId="0" xr:uid="{A12EE749-9712-468F-9966-B41AB8F51C7A}">
      <text>
        <r>
          <rPr>
            <sz val="9"/>
            <color indexed="81"/>
            <rFont val="Tahoma"/>
            <family val="2"/>
          </rPr>
          <t>Corresponde al líder del proceso</t>
        </r>
      </text>
    </comment>
  </commentList>
</comments>
</file>

<file path=xl/sharedStrings.xml><?xml version="1.0" encoding="utf-8"?>
<sst xmlns="http://schemas.openxmlformats.org/spreadsheetml/2006/main" count="581" uniqueCount="320">
  <si>
    <r>
      <t xml:space="preserve">Cuadro de Mando Indicadores 2022
</t>
    </r>
    <r>
      <rPr>
        <b/>
        <sz val="14"/>
        <color theme="0"/>
        <rFont val="Trebuchet MS"/>
        <family val="2"/>
      </rPr>
      <t>Departamento Administrativo de la Defensoría del Espacio Público - DADEP</t>
    </r>
  </si>
  <si>
    <t>Meta
2022</t>
  </si>
  <si>
    <t>Seguimiento Trimestral 2022</t>
  </si>
  <si>
    <t>Objetivo Estratégico
2020-2024</t>
  </si>
  <si>
    <t>Tipo</t>
  </si>
  <si>
    <t>Responsable del reporte</t>
  </si>
  <si>
    <t>Cod</t>
  </si>
  <si>
    <t>Indicador</t>
  </si>
  <si>
    <t>ENE-MAR</t>
  </si>
  <si>
    <t>Avance 1T Meta</t>
  </si>
  <si>
    <t>Avance 1T Proceso</t>
  </si>
  <si>
    <t>1T Observación</t>
  </si>
  <si>
    <t>ABR-JUN</t>
  </si>
  <si>
    <t>Avance 2T Meta</t>
  </si>
  <si>
    <t>Avance 2T Proceso</t>
  </si>
  <si>
    <t>2T Observación</t>
  </si>
  <si>
    <t>JUL-SEP</t>
  </si>
  <si>
    <t>Avance 3T Meta</t>
  </si>
  <si>
    <t>Avance 3T Proceso</t>
  </si>
  <si>
    <t>3 T Observación</t>
  </si>
  <si>
    <t>OCT-DIC</t>
  </si>
  <si>
    <t>Avance 4T Meta</t>
  </si>
  <si>
    <t>Avance 4T Proceso</t>
  </si>
  <si>
    <t>4T Observación</t>
  </si>
  <si>
    <t>Origen</t>
  </si>
  <si>
    <t>Meta PDD
2020-2024</t>
  </si>
  <si>
    <t>Tipo de Tendencia</t>
  </si>
  <si>
    <t>Cálculo</t>
  </si>
  <si>
    <t>Tipo de Indicador</t>
  </si>
  <si>
    <t>Frecuencia</t>
  </si>
  <si>
    <t>4.Fortalecer la capacidad institucional en el marco del Modelo Integrado de Planeación y Gestión, bajo los enfoques de una gestión orientada a resultados, la eficiencia en el manejo de recursos, la transparencia, el gobierno abierto y la participación de los grupos de interés.</t>
  </si>
  <si>
    <t>I. PROCESOS ESTRATÉGICOS</t>
  </si>
  <si>
    <t>1. Direccionamiento Estratégico</t>
  </si>
  <si>
    <t>Porcentaje de Avance de la Gestión de la Entidad</t>
  </si>
  <si>
    <t>(2575,27%/37)*100% = 69,60%</t>
  </si>
  <si>
    <t>(3123,39%/39)*100% = 79,89%</t>
  </si>
  <si>
    <t>(3425,43%/39)*100% = 87,83%</t>
  </si>
  <si>
    <t>Gestión</t>
  </si>
  <si>
    <t>No aplica</t>
  </si>
  <si>
    <t>Creciente</t>
  </si>
  <si>
    <t>(Sumatoria de los porcentajes de avance de las meta por periodo / # total de metas evaluadas) * 100%</t>
  </si>
  <si>
    <t>Eficiencia</t>
  </si>
  <si>
    <t>Trimestral</t>
  </si>
  <si>
    <t>Porcentaje de cumplimiento del Plan De Sostenibilidad De Ming</t>
  </si>
  <si>
    <t>(34%*(7/20))+(33%*(2/20))+(21,3%*(4/20))+(25%*(5/20))+(12%*(2/20)) = 26,9%</t>
  </si>
  <si>
    <t>(67,4%*(7/20))+(100%*(2/20))+(71,3%*(4/20))+(56,6%*(5/20))+(74%*(2/20)) = 69,40%</t>
  </si>
  <si>
    <t>(93,57%*(7/20))+(100,00%*(2/20))+(82,50%*(4/20))+(88,20%*(5/20))+(86,50%*(2/20)) = 89,95%</t>
  </si>
  <si>
    <t>Sumatoria de ((Porcentaje de avance por componente * (Número de actividades por componente / Número total de actividades del plan))</t>
  </si>
  <si>
    <t>Eficacia</t>
  </si>
  <si>
    <t>3.Mejorar la coordinación interinstitucional con todas las entidades que tienen competencia en materia de espacio público, así como la comunicación con los grupos de interés y de valor.</t>
  </si>
  <si>
    <t>Porcentaje de Acciones Desarrolladas Incluidas En El PAAC</t>
  </si>
  <si>
    <t>(12/21)*100% = 57,14%</t>
  </si>
  <si>
    <t>(Nº de  acciones realizadas / Nº total de actividades programadas) x 100%</t>
  </si>
  <si>
    <t>Cuatrimestral</t>
  </si>
  <si>
    <t>Porcentaje de documentación actualizada en la web relacionada con la Ley de Transparencia</t>
  </si>
  <si>
    <t>(75/91)*100% = 82,42%</t>
  </si>
  <si>
    <t>(88/91)*100% = 92,31%</t>
  </si>
  <si>
    <t>(85/91)*100% = 95,60%</t>
  </si>
  <si>
    <t>Constante</t>
  </si>
  <si>
    <t>(N° de documentos o información existente de ley de transparencia en la web / No. de documentos o información requeridos por la ley de transparencia en la web) * 100%</t>
  </si>
  <si>
    <t>Porcentaje de interacciones entre los seguidores y el contenido de la página.</t>
  </si>
  <si>
    <t>100%
(Crecimiento Anual 60% y mensual del 5%)</t>
  </si>
  <si>
    <t>(6,89+5,59%+6,59%)/15%)*100% = 127,13%</t>
  </si>
  <si>
    <t>((4,6%+6,39%+6,69%)/15%)*100% = 117,87%</t>
  </si>
  <si>
    <t>((11,04%+2,69%+9,95%)/15%)*100% = 157,87%</t>
  </si>
  <si>
    <t>Engagement (Porcentaje del nivel de interacción de las publicaciones institucionales, obtenido del  sistema de métricas obtenida de las redes sociales Facebook, Twitter e Instagram.) / Meta de crecimiento para el periodo * 100%</t>
  </si>
  <si>
    <t>2. Atención a la Ciudadanía</t>
  </si>
  <si>
    <t>Oportunidad de las respuestas a las peticiones ciudadanos en los términos de ley - Sistema Distrital para la gestión de peticiones ciudadanas -Bogotá te Escucha</t>
  </si>
  <si>
    <t xml:space="preserve">(1067/1068)*100% = 99.91%
</t>
  </si>
  <si>
    <t xml:space="preserve">(1192/1194)*100% = 99.91%
</t>
  </si>
  <si>
    <t xml:space="preserve">(617/619)*100% = 99.68%
</t>
  </si>
  <si>
    <t>(N° de derechos de petición contestados dentro de los términos legales/ N° derechos de petición asignados) * 100%</t>
  </si>
  <si>
    <t>Percepción De Los Ciudadanos Acerca De La Atención Recibida En Los Módulos</t>
  </si>
  <si>
    <t>(40/40)*100% =100%</t>
  </si>
  <si>
    <t>(35/37)*100%= 95,95%</t>
  </si>
  <si>
    <t>(32/32)*100%= 100%</t>
  </si>
  <si>
    <t>Número total de preguntas de percepción o de satisfacción respondidas por los ciudadanos diligenciadas con nivel excelente / Número total de preguntas de percepción o de satisfacción respondidas por los ciudadano en el periodo) * 100%</t>
  </si>
  <si>
    <t>Efectividad</t>
  </si>
  <si>
    <t>Satisfacción De Los Ciudadanos Respecto De Las Respuestas Emitidas</t>
  </si>
  <si>
    <t>(77/80)*100% =96,25%</t>
  </si>
  <si>
    <t>(66/74)*100%= 89,19%</t>
  </si>
  <si>
    <t>(61/64)*100%= 95%</t>
  </si>
  <si>
    <t>1. Contribuir al incremento del uso, goce y disfrute del patrimonio inmobiliario distrital y el espacio público, con acceso universal a la ciudadanía.</t>
  </si>
  <si>
    <t>3. Administración y gestión del Observatorio y la Política de Espacio Público</t>
  </si>
  <si>
    <t>Subdirector de Registro Inmobiliario - SRI</t>
  </si>
  <si>
    <t>Documentos de Investigación derivados De La Batería De Indicadores De La Política Pública Distrital De Espacio Público Y El Observatorio De Espacio Público</t>
  </si>
  <si>
    <t>Se realizó la publicación del informe trimestral de los documentos de investigación</t>
  </si>
  <si>
    <t>Se presenta el INFORME TRIMESTRAL OBSERVATORIO DEL ESPACIO PÚBLICO DE BOGOTÁ JULIO – AGOSTO – SEPTIEMBRE 2022, donde se consolida la información de las investigaciones adelantadas en los meses en mención por parte del ODEP.</t>
  </si>
  <si>
    <t>Número de documentos de Investigación derivados De La Batería De Indicadores De La Política Pública Distrital De Espacio Público Y El Observatorio De Espacio Público</t>
  </si>
  <si>
    <t>Porcentaje de acciones realizadas de la política pública de espacio público.</t>
  </si>
  <si>
    <t>100% 
(este porcentaje equivale al 7% programado para el año)</t>
  </si>
  <si>
    <t>(0,61/7) * 100% = 8,7%</t>
  </si>
  <si>
    <t>Se presenta el avance con la presentación de la PDEP ante la CIEP</t>
  </si>
  <si>
    <t>(2,65/7)*100% = 37,86%</t>
  </si>
  <si>
    <t>(3,86/7)*100% = 55,14%</t>
  </si>
  <si>
    <t xml:space="preserve">Se presenta el avance con el plan de acción de la PPDEP actual, SE ORGANIZA LA INFORMACIÓN  Y SE RETROALIMENTA EN EL FORMATO DE SEGUIMIENTO RESPECTIVO </t>
  </si>
  <si>
    <t>(Número de acciones realizadas / Número de acciones programadas) x 100%</t>
  </si>
  <si>
    <t>2.Aumentar  la oferta cuantitativa, cualitativa y la equidad territorial del patrimonio inmobiliario distrital y el espacio público.</t>
  </si>
  <si>
    <t>II. PROCESOS MISIONALES</t>
  </si>
  <si>
    <t>4. Inventario General de Espacio Público y Bienes Fiscales</t>
  </si>
  <si>
    <t>Metros cuadrados recibos de zonas de cesión al Distrito Capital.</t>
  </si>
  <si>
    <t>Este es un indicador presentado por urbanizadores y constructores.</t>
  </si>
  <si>
    <t>Este es un indicador presentado por urbanizadores y constructores.
Para el segundo trimestre se reprogramó la meta, pasando de 150.000  a 360.000 M2</t>
  </si>
  <si>
    <t xml:space="preserve">Este es un indicador presentado por urbanizadores y constructores.
Para el segundo trimestre se reprogramó la meta, pasando de 150.000  a 360.000 M2
Para el tercer trimestre se reprograma la meta, pasando de 360.000 a 700.000
</t>
  </si>
  <si>
    <t>Suma de los metros cuadrados  de recibos de las zonas de cesión al Distrito Capital.</t>
  </si>
  <si>
    <t>Base 239.682 M2 2021 recibidos</t>
  </si>
  <si>
    <t>Predios de uso público con metodología de valoración contable.</t>
  </si>
  <si>
    <t>No aplica para este periodo de medición</t>
  </si>
  <si>
    <t>Para el segundo trimestre se reprogramó la meta, pasando de 280 a 800 predios.</t>
  </si>
  <si>
    <t>Para el segundo trimestre se reprogramó la meta, pasando de 280 a 800 predios.
Para el tercer trimeestre se reprogramó el número de predios de 800 a 950.</t>
  </si>
  <si>
    <t>Suma de  predios de uso público con  metodología de valoración contable</t>
  </si>
  <si>
    <t>Semestral</t>
  </si>
  <si>
    <t>Base 223 de 2021</t>
  </si>
  <si>
    <t>1.Contribuir al incremento del uso, goce y disfrute del patrimonio inmobiliario distrital y el espacio público, con acceso universal a la ciudadanía.</t>
  </si>
  <si>
    <t>5. Administración del  Patrimonio Inmobiliario Distrital</t>
  </si>
  <si>
    <t>Porcentaje de Bienes de Uso Público y Fiscal entregados en administración</t>
  </si>
  <si>
    <t>(11/79)*100% = 13,92%</t>
  </si>
  <si>
    <t>(13/79)*100% = 16,46%</t>
  </si>
  <si>
    <t>(40-132)*100% = 30,3%</t>
  </si>
  <si>
    <t>(Bienes de uso público y fiscal entregados / Bienes de uso Público y fiscal tramitados) * 100%</t>
  </si>
  <si>
    <t>Porcentaje de activaciones urbanas para incrementar la participación y apropiación del espacio público</t>
  </si>
  <si>
    <t>(0/4)*100% = 0%</t>
  </si>
  <si>
    <t>(2/4)*100% = 50%</t>
  </si>
  <si>
    <t>(3/4)*100% = 75%</t>
  </si>
  <si>
    <t>(Número de activaciones urbanas ejecutadas / Número de activaciones urbanas programadas) * 100%</t>
  </si>
  <si>
    <t>OK continua</t>
  </si>
  <si>
    <t>ADM</t>
  </si>
  <si>
    <t>Porcentaje de APP tramitadas.</t>
  </si>
  <si>
    <t>(0/0)*100% = 0% (a demanda) = 100%</t>
  </si>
  <si>
    <t>Este es un indicador a demanda</t>
  </si>
  <si>
    <t>(0/1)*100% = 0% (a demanda) = 0%</t>
  </si>
  <si>
    <t>(1/1)*100% = 100% (a demanda) = 100%</t>
  </si>
  <si>
    <t>(Número de APP tramitadas / Número de APP solicitadas) * 100%</t>
  </si>
  <si>
    <t>Porcentaje de autorizaciones de uso tramitadas del instrumento BACA 2,0</t>
  </si>
  <si>
    <t>(38/46)*100% = 82,61% (a demanda) = 82,61%</t>
  </si>
  <si>
    <t>(94/121)*100= 77,69%</t>
  </si>
  <si>
    <t>* Este es un indicador a demanda.
* El calulo a realizar hace referencia al Porcentaje de BACA 2,0 tramitados teniendo en cuenta el Decreto 070 del 23 de febrero de 2022 y el Protocolo de reglamentación del Decreto DISTRITAL NO 070 DE 2022.</t>
  </si>
  <si>
    <t>(Número de autorizaciones de uso tramitadas del instrumento BACA 2,0 / Número de autorizaciones de uso solicitadas) * 100%</t>
  </si>
  <si>
    <t>Porcentaje de DEMOS tramitados.</t>
  </si>
  <si>
    <t>(1/1)*100% = 100%</t>
  </si>
  <si>
    <t>(Número de DEMOS tramitados / Número de DEMOS solicitados) * 100%</t>
  </si>
  <si>
    <t>Porcentaje Bienes Fiscales enajenados.</t>
  </si>
  <si>
    <t>(Número de bienes enajenados / Número de bienes ofertados para la enajenación) * 100%</t>
  </si>
  <si>
    <t>Porcentaje de informes de supervisión presentados y revisados de bienes fiscales</t>
  </si>
  <si>
    <t>(0/0)*100% = 0% = 100%</t>
  </si>
  <si>
    <t>(130/225)*100% = 57,78% = 57,78%</t>
  </si>
  <si>
    <t>(318/526)*100% = 60,46%</t>
  </si>
  <si>
    <t>(Número de informes presentados y revisados de bienes fiscales / Número de contratos vigentes obligados a presentar informe de ejecución de bienes fiscales) / * 100%</t>
  </si>
  <si>
    <t>6. Defensa del  Patrimonio Inmobiliario Distrital</t>
  </si>
  <si>
    <t>Porcentaje de diagnósticos elaborados del Patrimonio Inmobiliario Distrital administrado a Cargo del DADEP</t>
  </si>
  <si>
    <t>(197/1120)*100% = 17,59%</t>
  </si>
  <si>
    <t>(490/1120)*100% = 43,75%</t>
  </si>
  <si>
    <t>(839/1120)*100% = 74,91%</t>
  </si>
  <si>
    <t>Diagnósticos elaborados o actualizados / Diagnósticos programados o requeridos</t>
  </si>
  <si>
    <t>Porcentaje de metros cuadrados de espacio público recuperado</t>
  </si>
  <si>
    <t>(65938,34/200000)*100% = 32,97%</t>
  </si>
  <si>
    <t>(272.634,28/350000)*100% = 77,90%</t>
  </si>
  <si>
    <t>(3191104,22/3189440)*100= 100,05%</t>
  </si>
  <si>
    <t>Número de metros cuadrados recuperados / Número de metros cuadrados programados</t>
  </si>
  <si>
    <t>III. PROCESOS DE SOPORTE</t>
  </si>
  <si>
    <t>7. Gestión de la Tecnología y la Información</t>
  </si>
  <si>
    <t>Porcentaje de Cumplimiento Hitos Claves</t>
  </si>
  <si>
    <t>(4/4)*100% = 100%</t>
  </si>
  <si>
    <t>(Hitos Cumplidos / Hitos Planeados) * 100</t>
  </si>
  <si>
    <t>Porcentaje de Desarrollos Informáticos Adquiridos o Actualizado</t>
  </si>
  <si>
    <t>(0,4979/1)*100% = 50%</t>
  </si>
  <si>
    <t>(0,6019/1)*100% = 60,19%</t>
  </si>
  <si>
    <t>(Desarrollos Informáticos Adquiridos o Actualizados / Desarrollo Informáticos Programados) * 100</t>
  </si>
  <si>
    <t>Porcentaje de solicitudes de los usuarios, registradas y resueltas</t>
  </si>
  <si>
    <t>(2046/2071)*100% = 98,79%</t>
  </si>
  <si>
    <t>(1327/1385)*100% = 95,81%</t>
  </si>
  <si>
    <t>(Número de solicitudes de los usuarios, registradas y resueltas / Número de solicitudes realizadas) * 100</t>
  </si>
  <si>
    <t>Porcentaje de Información y documentos disponibles y protegidos (Back-Up)</t>
  </si>
  <si>
    <t>(300/300)*100% = 100%</t>
  </si>
  <si>
    <t>(444/444)*100% = 100%</t>
  </si>
  <si>
    <t>(Número de Información y documentos disponibles y protegidos (Back-Up) / Número de Información y documentos) * 100</t>
  </si>
  <si>
    <t>8. Gestión Jurídica</t>
  </si>
  <si>
    <t>Porcentaje de Conciliaciones Analizadas</t>
  </si>
  <si>
    <t>(7/7)*100%=100%</t>
  </si>
  <si>
    <t>(Número de solicitudes de conciliación analizadas en el Comité de Conciliación / Número de solicitudes de conciliación) * 100%</t>
  </si>
  <si>
    <t>Porcentaje de Informes de seguimiento Judicial Presentados</t>
  </si>
  <si>
    <t>(1/1)*100%=100%</t>
  </si>
  <si>
    <t>(Número de informes de seguimiento de los procesos judiciales presentados en el periodo/Número de procesos judiciales asignados a los abogados) * 100</t>
  </si>
  <si>
    <t>Porcentaje respuesta oportuna de las acciones de tutela notificadas a la Oficina Asesora Jurídica</t>
  </si>
  <si>
    <t>(24/24)*100% = 100%</t>
  </si>
  <si>
    <t>(17/17)*100% = 100%</t>
  </si>
  <si>
    <t>(23/23)*100%=100%</t>
  </si>
  <si>
    <t>(Número de Acciones de Tutela contestadas en el término dado por el Despacho Judicial /  Número de Acciones de Tutela notificadas a la OAJ) * 100</t>
  </si>
  <si>
    <t>Promedio de Contratos de prestación de servicio y de apoyo a la gestión  que cumplieron el promedio de días establecidos de suscripción</t>
  </si>
  <si>
    <t>(220/339)*100% = 64,9%</t>
  </si>
  <si>
    <t>(7/7)*100% = 100%</t>
  </si>
  <si>
    <t>(42/46)*100%=91,3%</t>
  </si>
  <si>
    <t>(Número de contratos de prestación de servicios y de apoyo a la gestión suscritos en el promedio de días establecido / Número de contratos suscritos en el periodo)</t>
  </si>
  <si>
    <t>Porcentaje de procesos de selección gestionados</t>
  </si>
  <si>
    <t>(28/60)*100% = 46,67%</t>
  </si>
  <si>
    <t>(39/48)*100%=81,25%</t>
  </si>
  <si>
    <t>(Número de procesos adjudicados + declarados desiertos + aceptación de oferta + no aceptación de oferta / Número de solicitudes de contratación por proceso de selección) * 100</t>
  </si>
  <si>
    <t>9. Gestión de Talento Humano</t>
  </si>
  <si>
    <t>Porcentaje de cumplimiento de  las actividades propuestas  en el Plan Estratégico de TH - PETH</t>
  </si>
  <si>
    <t>(33%/100)*100=33%</t>
  </si>
  <si>
    <t>La sumatoria del avance de los 6 planes que corresponden al Plan Estratégico de Talento Humano es del 33%</t>
  </si>
  <si>
    <t>(67%/100)*100=67%</t>
  </si>
  <si>
    <t>(72,58%/100)*100=72,58%</t>
  </si>
  <si>
    <t>(Sumatoria de avance de los que componen el Plan Estratégico de TH ejecutados / Sumatoria del porcentaje de avance programado de cada uno de los planes) * 100</t>
  </si>
  <si>
    <t>Porcentaje de cumplimiento del Plan de Trabajo del SG_SST</t>
  </si>
  <si>
    <t>(38/52)*100%= 73,08%</t>
  </si>
  <si>
    <t>(39/39)*100%=100%</t>
  </si>
  <si>
    <t>(30/30)*100%=100%</t>
  </si>
  <si>
    <t xml:space="preserve">(Actividades ejecutadas / Actividades Propuestas) * 100 </t>
  </si>
  <si>
    <t>10. Gestión Documental</t>
  </si>
  <si>
    <t>Porcentaje de Transferencias documentales primarias legalizadas</t>
  </si>
  <si>
    <t>De acuerdo con el cronograma establecido en el PINAR, esta actividad se programó para iniciar el mes de abril.</t>
  </si>
  <si>
    <t>(12/13)*100%=92,31%</t>
  </si>
  <si>
    <t>(6/6)*100% =100%</t>
  </si>
  <si>
    <t xml:space="preserve">(No. De transferencias documentales primarias  entregadas de acuerdo al cronograma / No. De dependencias programadas) * 100% </t>
  </si>
  <si>
    <t xml:space="preserve">Porcentaje de actividades realizadas del PINAR </t>
  </si>
  <si>
    <t>(710% /25) *100% = 28,4%</t>
  </si>
  <si>
    <t>(1113%/23)*100%=48,39%</t>
  </si>
  <si>
    <t>(1767%/23)*100%=77%</t>
  </si>
  <si>
    <t>(Sumatoria del porcentaje de las actividades ejecutadas / No. Actividades programadas del PINAR) * 100%</t>
  </si>
  <si>
    <t>11. Gestión de Recursos</t>
  </si>
  <si>
    <t>Porcentaje De Ejecución Presupuestal</t>
  </si>
  <si>
    <t>(22.876.798.368 / 38.865.190.000) * 100%  = 58,86 %</t>
  </si>
  <si>
    <t>(26.970.108.854/38.865.190.000)* 100% = 69.39%</t>
  </si>
  <si>
    <t>(34.047.595.523/39.665.190.000)* 100% = 85.84%</t>
  </si>
  <si>
    <t>(Valor de compromisos / Presupuesto total asignado a la entidad (con sus modificaciones)) * 100%</t>
  </si>
  <si>
    <t>Porcentaje de avance del Plan de Gestión Ambiental de la entidad</t>
  </si>
  <si>
    <t xml:space="preserve"> (10%+3.5%+3.5%+3.5%+5%)/ (40%+15%+15%+15%+15%) * 100 
=(25,5/100) *100%
=25.5%</t>
  </si>
  <si>
    <t>El peso asignado a los planes es: 
PIGA: 40%
PAI: 15%
RESPEL: 15%
PIMs: 15% y
PACA: 15%</t>
  </si>
  <si>
    <t>((22,8%+9,4%+8,4%+7,5%*7,5%)/
(40%+15%+15%+15%+15%))*(100)</t>
  </si>
  <si>
    <t>((32,8%+13,5%+15%+12,15%+10,35%)/
(40%+15%+15%+15%+15%))*(100)</t>
  </si>
  <si>
    <t>(Sumatoria de avance de los Planes de Gestión Ambiental ejecutados / Sumatoria del porcentaje de avance programado de cada uno de los planes) * 100%</t>
  </si>
  <si>
    <t>Porcentaje de generación de registro contable de la propiedad inmobiliaria del Distrito con valoración contable.</t>
  </si>
  <si>
    <t>(65228/71797)*100%= 90,85%</t>
  </si>
  <si>
    <t>(65804/72255)*100% = 91,07%</t>
  </si>
  <si>
    <t>(65986/72440)*100%</t>
  </si>
  <si>
    <t>(Número total de predios contabilizados en los estados financiero / Número total de predios registrados en SIDEP 2,0 ) * 100%</t>
  </si>
  <si>
    <t>IV. PROCESOS DE VERIFICACIÓN Y MEJORA</t>
  </si>
  <si>
    <t>12. Evaluación y Control</t>
  </si>
  <si>
    <t>Porcentaje de cumplimiento del Plan Anual de Auditorías</t>
  </si>
  <si>
    <t>(22/22)*100% = 100%</t>
  </si>
  <si>
    <t>(Nº de auditorías efectuadas / Nº total de auditorías proyectadas en el PAA para la vigencia) * 100%</t>
  </si>
  <si>
    <t>13. Verificación y Mejoramiento Continuo</t>
  </si>
  <si>
    <t>Jefe Oficina Asesora de Planeación - OAP</t>
  </si>
  <si>
    <t>Monitoreo a las acciones del plan de mejoramiento institucional en el CPM</t>
  </si>
  <si>
    <t>(8/8)*100% = 100%</t>
  </si>
  <si>
    <t>(9/9)*100% = 100%</t>
  </si>
  <si>
    <t>(Acciones finalizadas en el aplicativo CPM en el periodo a reportar/ Acciones creadas dentro del aplicativo CPM con fecha de vencimiento en el periodo a reportar) x 100%</t>
  </si>
  <si>
    <t>14. Control Interno Disciplinario</t>
  </si>
  <si>
    <t>Porcentaje de avance de los procesos disciplinarios que cursan en el DADEP</t>
  </si>
  <si>
    <t>(3/3)*100%=100%</t>
  </si>
  <si>
    <t>Durante cada trimestre se han recibido 3 quejas, las cuales fueron debidamente tramitadas en su totalidad 3 /3 * 100</t>
  </si>
  <si>
    <t>(Número de quejas tramitadas: Sumatoria de quejas tramitadas / Total quejas recibidas) X 100%</t>
  </si>
  <si>
    <t>Mensual</t>
  </si>
  <si>
    <t>Total Avance</t>
  </si>
  <si>
    <t>Elaborado:</t>
  </si>
  <si>
    <t>Alexander Oliveros Paredes - Contratistas OAP</t>
  </si>
  <si>
    <t>01 de Enero de 2022</t>
  </si>
  <si>
    <t>Revisado:</t>
  </si>
  <si>
    <t>Luis Fernando Arango - Profesional OAP</t>
  </si>
  <si>
    <t>Aprobado:</t>
  </si>
  <si>
    <t>Diana María Camargo Pulido - Jefe Oficina Asesora de Planeación.</t>
  </si>
  <si>
    <t>Se realizó la publicación del documento ‘El espacio público bajo la mirada del nuevo Plan de Ordenamiento Territorial Bogotá Reverdece 2022-2035’, documento que explica de forma simple y cercana, cómo se transformarán los entornos de la ciudad en los próximos 13 años.</t>
  </si>
  <si>
    <t>Se presenta el avance con la presentación del plan de acción de la PDEP ante la CIEP y se presenta la aprobación por parte del comité CONPES en el mes de diciembre 2022.</t>
  </si>
  <si>
    <t>Este es un indicador presentado por urbanizadores y constructores.
Para el segundo trimestre se reprogramó la meta, pasando de 150.000  a 360.000 M2
Para el tercer trimestre se reprograma la meta, pasando de 360.000 a 700.000
Para el cuarto trimestre se reprograma la meta, pasando de 700.000 a 734.000 M2</t>
  </si>
  <si>
    <t>Para el cuarto trimestre se reprogramó la meta, pasando de 950 a 1038 predios.</t>
  </si>
  <si>
    <t>734787,8 M2</t>
  </si>
  <si>
    <t>Durante cada trimestre se han recibido 4 quejas, las cuales fueron debidamente tramitadas en su totalidad 4/4 * 100</t>
  </si>
  <si>
    <t>(4/4)*100%=100%</t>
  </si>
  <si>
    <t>(18/18)*100% = 100%</t>
  </si>
  <si>
    <t>Se da cumplimiento a lo establecido en el PAA V3 de 2022</t>
  </si>
  <si>
    <t>(42/42)*100% = 100%</t>
  </si>
  <si>
    <t>(15/15)*100%=100%</t>
  </si>
  <si>
    <t>(11/11)*100%=100%</t>
  </si>
  <si>
    <t>(50/51)*100%=98,04%</t>
  </si>
  <si>
    <t xml:space="preserve">En la vigencia 2022 fueron analizadas en las sesiones del Comité de Conciliación nueve conciliaciones. De ellas, se analizaron ocho (8) judiciales y una extrajudicial. En el proceso no se establecieron formulas de conciliación teniendo en cuenta que versan sobre bienes de uso público que son inembargables y imprescriptibles e inalienables, por lo que se dio continuidad a la etapa procesal de pruebas. </t>
  </si>
  <si>
    <t>En la vigencia 2022 se presentaron cuatro informes de seguimiento judicial que contiene toda la gestión de la representación jurídica en la entidad. Este instrumento de gestión ha permitido que el DADEP garantice una debida representación de sus intereses en los estrados judiciales en los que se discute su presunta responsabilidad.</t>
  </si>
  <si>
    <t>En la vigencia 2022 fueron recibidas y analizadas 79 acciones de tutela presentadas al DADEP, alcanzando un 100% de efectividad en la oportunidad de atención, evitando fallos en contra, incidentes de desacato y mitigando los riesgos de daño antijurídico en contra.</t>
  </si>
  <si>
    <t xml:space="preserve">En la vigencia 2022 se suscribieron 403 contratos de prestación de servicios profesionales y de apoyo a la gestión institucional según identificación de necesidades y solicitud de las áreas requeridos para adelantar y cumplir con los compormisos anuales. En el cuarto trimestre se logro el 100% en la suscripción de contratos. En la vigencia se alcanzó el 69,5% en la suscripción dentro de los 14 días promedio establecido para la contratación. La afectación en el indicador, se presenta por la contingencia presentada en el mes de enero por la entrada en vigencia de la ley de garantías por ser año electoral, en donde la cantidad de contratos solicitados fueron suscritos en un termino superios al promedio establecido. </t>
  </si>
  <si>
    <t xml:space="preserve">Fueron adjudicados 50 procesos de selección según normatividad y modalidad, en atención a las necesidades de las áreas del DADEP en el marco de la defensoría del espacio publico y el patrimonio inmobiliario. Del total de los procesos, el 49% fueron en la modalidad de mínima cuantía; seguido del 22% acuerdo marco de precios; 14% contratación directa y 15% procesos de selección en menor cuantía, licitación pública, selección abreviada subasta inversa y concusro de meritos. </t>
  </si>
  <si>
    <t>(87/132)*100% = 65,9%</t>
  </si>
  <si>
    <t>(2/2)*100% = 100% (a demanda) = 100%</t>
  </si>
  <si>
    <t>(179/179)*100= 100%</t>
  </si>
  <si>
    <t>(4/6)*100% = 66,67% (a demanda) = 66,67%</t>
  </si>
  <si>
    <t>(345/522)*100% = 66,09%</t>
  </si>
  <si>
    <t>66.09%</t>
  </si>
  <si>
    <t>(1120/1120)*100% = 100%</t>
  </si>
  <si>
    <t>(3.315.076,90/3.315.076,90)*100= 100%</t>
  </si>
  <si>
    <t>El número de bienes tramitados corresponde a la sumatoria de bienes fiscales y de uso público sobre los cuales se adelantan gestiones para la entrega en administración durante el PDD 2020-2024</t>
  </si>
  <si>
    <t>El seguimiento a los instrumentos (contratos, convenios, actas, etc) correponde al desarrollo de gestiones constantes, las cuales se encuentran rezagadas por la falta de personal en vigencias anteriores y el volumen de instrumentos celebados por parte de la entidad.</t>
  </si>
  <si>
    <t>(97.5/100%)*100=97,5%</t>
  </si>
  <si>
    <t>(2/2)*100%= 100%</t>
  </si>
  <si>
    <t>(2200%/22)*100= 100%</t>
  </si>
  <si>
    <t>(39.491.601.074/39.665.190.000)* 100% = 99,56%</t>
  </si>
  <si>
    <t>((40%*15%+15%+15%+15%)/(40%*15%+15%+15%+15%))</t>
  </si>
  <si>
    <t>(66241/72656)*100%= 90,85%</t>
  </si>
  <si>
    <t>La sumatoria del avance de los 6 planes que corresponden al Plan Estratégico de Talento Humano es del 97,5%</t>
  </si>
  <si>
    <t>Se cumplió con el 100% de las actividades programadas en el SG_SST</t>
  </si>
  <si>
    <t>El peso asignado a los planes es: 
PIGA: 40%
PAI: 15%
RESPEL: 15%
PIMs: 15% y
PACA: 15%Todos los planes se cumplieron al 100%</t>
  </si>
  <si>
    <t>(295/295)*100% =100%</t>
  </si>
  <si>
    <t>(27/27)*100% =100%</t>
  </si>
  <si>
    <t>(52/54)*100% = 96</t>
  </si>
  <si>
    <t>Se atendió en criterio de oportunidad las respuestas a las peticiones ciudadanas en térnimos de Ley..</t>
  </si>
  <si>
    <t>La percepción de los ciudadanos fue definida "Excelente"</t>
  </si>
  <si>
    <t>La satisfacción de los ciudadanos respecto a las respuestas emitidas fue del 96% con dos ciudadanos que manifestaron que fue "Buena"</t>
  </si>
  <si>
    <t>(100%*(7/20))+(100,00%*(2/20))+(100%*(4/20))+(100%*(5/20))+(100%*(2/20)) = 100%</t>
  </si>
  <si>
    <t>(21/21)*100% = 100%</t>
  </si>
  <si>
    <t>Subdirectora de Gestión Corporativa -SGC</t>
  </si>
  <si>
    <t>Subdirector de Gestión Inmobiliaria y del Espacio Público - SGI</t>
  </si>
  <si>
    <t>Jefe Oficina de Tecnologías de la Información y las Comunicaciones  -  OTIC</t>
  </si>
  <si>
    <t>Jefe Oficina Jurídica - OJ</t>
  </si>
  <si>
    <t>Jefe Oficina Aseosra de Comunicaciones - OAC</t>
  </si>
  <si>
    <t>Jefe Oficina de Control Interno - OCI</t>
  </si>
  <si>
    <t>Jefe Oficina Control Disciplinario Interno - OCD</t>
  </si>
  <si>
    <t>(4/4)*100=100%</t>
  </si>
  <si>
    <t>(1/1)*100=100%</t>
  </si>
  <si>
    <t>(1828/1828)*100=100%</t>
  </si>
  <si>
    <t>(476/476)*100= 100%</t>
  </si>
  <si>
    <t>(3902,77%/39)*100% = 100%</t>
  </si>
  <si>
    <t xml:space="preserve"> ((30,02%+8,55%+5,07%)/15%)*100% = 290,93%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</si>
</sst>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0.0%"/>
  </numFmts>
  <fonts count="26" x14ac:knownFonts="1">
    <font>
      <sz val="11"/>
      <color theme="1"/>
      <name val="Calibri"/>
      <family val="2"/>
      <scheme val="minor"/>
    </font>
    <font>
      <sz val="11"/>
      <color theme="1"/>
      <name val="Calibri"/>
      <family val="2"/>
      <scheme val="minor"/>
    </font>
    <font>
      <b/>
      <sz val="24"/>
      <color theme="0"/>
      <name val="Trebuchet MS"/>
      <family val="2"/>
    </font>
    <font>
      <b/>
      <sz val="14"/>
      <color theme="0"/>
      <name val="Trebuchet MS"/>
      <family val="2"/>
    </font>
    <font>
      <b/>
      <sz val="16"/>
      <color theme="0"/>
      <name val="Museo Sans Condensed"/>
    </font>
    <font>
      <b/>
      <sz val="26"/>
      <color rgb="FFFF0000"/>
      <name val="Museo Sans Condensed"/>
    </font>
    <font>
      <sz val="11"/>
      <color theme="1"/>
      <name val="Trebuchet MS"/>
      <family val="2"/>
    </font>
    <font>
      <b/>
      <sz val="10"/>
      <color theme="0"/>
      <name val="Museo Sans Condensed"/>
    </font>
    <font>
      <b/>
      <sz val="8"/>
      <color theme="1"/>
      <name val="Trebuchet MS"/>
      <family val="2"/>
    </font>
    <font>
      <sz val="10"/>
      <name val="Museo Sans Condensed"/>
    </font>
    <font>
      <b/>
      <sz val="14"/>
      <color theme="0"/>
      <name val="Museo Sans Condensed"/>
    </font>
    <font>
      <b/>
      <sz val="12"/>
      <color theme="0"/>
      <name val="Museo Sans Condensed"/>
    </font>
    <font>
      <sz val="10"/>
      <color theme="1"/>
      <name val="Museo Sans Condensed"/>
    </font>
    <font>
      <b/>
      <sz val="10"/>
      <color theme="1"/>
      <name val="Museo Sans Condensed"/>
    </font>
    <font>
      <b/>
      <sz val="10"/>
      <name val="Museo Sans Condensed"/>
    </font>
    <font>
      <b/>
      <sz val="10"/>
      <color rgb="FF000000"/>
      <name val="Museo Sans Condensed"/>
    </font>
    <font>
      <sz val="10"/>
      <color rgb="FF000000"/>
      <name val="Museo Sans Condensed"/>
    </font>
    <font>
      <b/>
      <sz val="10"/>
      <color rgb="FFFF0000"/>
      <name val="Museo Sans Condensed"/>
    </font>
    <font>
      <sz val="11"/>
      <name val="Trebuchet MS"/>
      <family val="2"/>
    </font>
    <font>
      <sz val="10"/>
      <color rgb="FFFF0000"/>
      <name val="Museo Sans Condensed"/>
    </font>
    <font>
      <b/>
      <sz val="11"/>
      <color theme="1"/>
      <name val="Trebuchet MS"/>
      <family val="2"/>
    </font>
    <font>
      <sz val="9"/>
      <color theme="1"/>
      <name val="Trebuchet MS"/>
      <family val="2"/>
    </font>
    <font>
      <sz val="10"/>
      <color theme="1"/>
      <name val="Trebuchet MS"/>
      <family val="2"/>
    </font>
    <font>
      <b/>
      <sz val="9"/>
      <color theme="1"/>
      <name val="Trebuchet MS"/>
      <family val="2"/>
    </font>
    <font>
      <sz val="9"/>
      <color indexed="81"/>
      <name val="Tahoma"/>
      <family val="2"/>
    </font>
    <font>
      <b/>
      <sz val="9"/>
      <name val="Museo Sans Condensed"/>
    </font>
  </fonts>
  <fills count="18">
    <fill>
      <patternFill patternType="none"/>
    </fill>
    <fill>
      <patternFill patternType="gray125"/>
    </fill>
    <fill>
      <patternFill patternType="solid">
        <fgColor rgb="FFC00000"/>
        <bgColor indexed="64"/>
      </patternFill>
    </fill>
    <fill>
      <patternFill patternType="solid">
        <fgColor rgb="FFC00000"/>
        <bgColor indexed="8"/>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rgb="FFE2EFDA"/>
        <bgColor rgb="FF000000"/>
      </patternFill>
    </fill>
    <fill>
      <patternFill patternType="solid">
        <fgColor rgb="FFC6E0B4"/>
        <bgColor rgb="FF000000"/>
      </patternFill>
    </fill>
    <fill>
      <patternFill patternType="solid">
        <fgColor rgb="FFFF5050"/>
        <bgColor indexed="64"/>
      </patternFill>
    </fill>
    <fill>
      <patternFill patternType="solid">
        <fgColor rgb="FFFFC000"/>
        <bgColor indexed="64"/>
      </patternFill>
    </fill>
    <fill>
      <patternFill patternType="solid">
        <fgColor theme="0"/>
        <bgColor rgb="FF000000"/>
      </patternFill>
    </fill>
    <fill>
      <patternFill patternType="solid">
        <fgColor rgb="FFFF0000"/>
        <bgColor indexed="64"/>
      </patternFill>
    </fill>
    <fill>
      <patternFill patternType="solid">
        <fgColor rgb="FFFFFFFF"/>
        <bgColor indexed="64"/>
      </patternFill>
    </fill>
    <fill>
      <patternFill patternType="solid">
        <fgColor rgb="FFFFFF00"/>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3">
    <xf numFmtId="0" fontId="0" fillId="0" borderId="0" xfId="0"/>
    <xf numFmtId="0" fontId="6" fillId="0" borderId="0" xfId="0" applyFont="1"/>
    <xf numFmtId="0" fontId="7"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0" xfId="0" applyFont="1" applyAlignment="1">
      <alignment horizontal="center"/>
    </xf>
    <xf numFmtId="0" fontId="13" fillId="5" borderId="1" xfId="0" applyFont="1" applyFill="1" applyBorder="1" applyAlignment="1">
      <alignment horizontal="center" vertical="center" wrapText="1"/>
    </xf>
    <xf numFmtId="0" fontId="14" fillId="6" borderId="1" xfId="0" applyFont="1" applyFill="1" applyBorder="1" applyAlignment="1">
      <alignment vertical="center" wrapText="1"/>
    </xf>
    <xf numFmtId="9" fontId="13" fillId="7" borderId="1" xfId="0" applyNumberFormat="1" applyFont="1" applyFill="1" applyBorder="1" applyAlignment="1">
      <alignment horizontal="center" vertical="center" wrapText="1"/>
    </xf>
    <xf numFmtId="9" fontId="13" fillId="0" borderId="1" xfId="3" applyFont="1" applyFill="1" applyBorder="1" applyAlignment="1">
      <alignment horizontal="center" vertical="center" wrapText="1"/>
    </xf>
    <xf numFmtId="10" fontId="13" fillId="0" borderId="1" xfId="3" applyNumberFormat="1" applyFont="1" applyFill="1" applyBorder="1" applyAlignment="1">
      <alignment horizontal="center" vertical="center" wrapText="1"/>
    </xf>
    <xf numFmtId="0" fontId="13" fillId="0" borderId="1" xfId="0" applyFont="1" applyBorder="1" applyAlignment="1">
      <alignment horizontal="center" vertical="center" wrapText="1"/>
    </xf>
    <xf numFmtId="9" fontId="15" fillId="0" borderId="1" xfId="3" applyFont="1" applyFill="1" applyBorder="1" applyAlignment="1">
      <alignment horizontal="center" vertical="center" wrapText="1"/>
    </xf>
    <xf numFmtId="10" fontId="15" fillId="0" borderId="1" xfId="3" applyNumberFormat="1" applyFont="1" applyFill="1" applyBorder="1" applyAlignment="1">
      <alignment horizontal="center" vertical="center" wrapText="1"/>
    </xf>
    <xf numFmtId="0" fontId="12" fillId="0" borderId="1" xfId="0" applyFont="1" applyBorder="1" applyAlignment="1">
      <alignment horizontal="center" vertical="center" wrapText="1"/>
    </xf>
    <xf numFmtId="9" fontId="12" fillId="0" borderId="1" xfId="0" applyNumberFormat="1" applyFont="1" applyBorder="1" applyAlignment="1">
      <alignment horizontal="center" vertical="center" wrapText="1"/>
    </xf>
    <xf numFmtId="0" fontId="12" fillId="0" borderId="1" xfId="0" applyFont="1" applyBorder="1" applyAlignment="1">
      <alignment horizontal="justify" vertical="center" wrapText="1"/>
    </xf>
    <xf numFmtId="10" fontId="13" fillId="0" borderId="1" xfId="0" applyNumberFormat="1" applyFont="1" applyBorder="1" applyAlignment="1">
      <alignment horizontal="center" vertical="center" wrapText="1"/>
    </xf>
    <xf numFmtId="0" fontId="14" fillId="6" borderId="1" xfId="0" applyFont="1" applyFill="1" applyBorder="1" applyAlignment="1">
      <alignment horizontal="justify" vertical="center" wrapText="1"/>
    </xf>
    <xf numFmtId="10" fontId="14" fillId="0" borderId="1" xfId="0" applyNumberFormat="1" applyFont="1" applyBorder="1" applyAlignment="1">
      <alignment horizontal="center" vertical="center" wrapText="1"/>
    </xf>
    <xf numFmtId="0" fontId="12" fillId="0" borderId="5" xfId="0" applyFont="1" applyBorder="1" applyAlignment="1">
      <alignment horizontal="center" vertical="center" wrapText="1"/>
    </xf>
    <xf numFmtId="10" fontId="15" fillId="0" borderId="1" xfId="0" applyNumberFormat="1" applyFont="1" applyBorder="1" applyAlignment="1">
      <alignment horizontal="center" vertical="center" wrapText="1"/>
    </xf>
    <xf numFmtId="9" fontId="14" fillId="7" borderId="1" xfId="0" applyNumberFormat="1" applyFont="1" applyFill="1" applyBorder="1" applyAlignment="1">
      <alignment horizontal="center" vertical="center" wrapText="1"/>
    </xf>
    <xf numFmtId="10" fontId="13" fillId="9" borderId="1" xfId="0" applyNumberFormat="1" applyFont="1" applyFill="1" applyBorder="1" applyAlignment="1">
      <alignment horizontal="center" vertical="center" wrapText="1"/>
    </xf>
    <xf numFmtId="0" fontId="13" fillId="8" borderId="1" xfId="0" applyFont="1" applyFill="1" applyBorder="1" applyAlignment="1">
      <alignment horizontal="center" vertical="center" wrapText="1"/>
    </xf>
    <xf numFmtId="0" fontId="9" fillId="0" borderId="1" xfId="0" applyFont="1" applyBorder="1" applyAlignment="1">
      <alignment horizontal="justify" vertical="center" wrapText="1"/>
    </xf>
    <xf numFmtId="0" fontId="14" fillId="10" borderId="1" xfId="0" applyFont="1" applyFill="1" applyBorder="1" applyAlignment="1">
      <alignment horizontal="justify" vertical="center" wrapText="1"/>
    </xf>
    <xf numFmtId="9" fontId="14" fillId="11"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9" fontId="15"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justify" vertical="center" wrapText="1"/>
    </xf>
    <xf numFmtId="9" fontId="13" fillId="0" borderId="1" xfId="0" applyNumberFormat="1" applyFont="1" applyBorder="1" applyAlignment="1">
      <alignment horizontal="center" vertical="center" wrapText="1"/>
    </xf>
    <xf numFmtId="0" fontId="13" fillId="7" borderId="1" xfId="1" applyNumberFormat="1" applyFont="1" applyFill="1" applyBorder="1" applyAlignment="1">
      <alignment horizontal="center" vertical="center" wrapText="1"/>
    </xf>
    <xf numFmtId="9" fontId="13" fillId="0" borderId="1" xfId="3" applyFont="1" applyBorder="1" applyAlignment="1">
      <alignment horizontal="center" vertical="center" wrapText="1"/>
    </xf>
    <xf numFmtId="0" fontId="14" fillId="0" borderId="1" xfId="0" applyFont="1" applyBorder="1" applyAlignment="1">
      <alignment horizontal="center" vertical="center" wrapText="1"/>
    </xf>
    <xf numFmtId="2" fontId="13" fillId="0" borderId="1" xfId="0" applyNumberFormat="1" applyFont="1" applyBorder="1" applyAlignment="1">
      <alignment horizontal="center" vertical="center" wrapText="1"/>
    </xf>
    <xf numFmtId="9" fontId="13" fillId="7" borderId="1" xfId="1" applyNumberFormat="1" applyFont="1" applyFill="1" applyBorder="1" applyAlignment="1">
      <alignment horizontal="center" vertical="center" wrapText="1"/>
    </xf>
    <xf numFmtId="164" fontId="13" fillId="0" borderId="1" xfId="3" applyNumberFormat="1" applyFont="1" applyFill="1" applyBorder="1" applyAlignment="1">
      <alignment horizontal="center" vertical="center" wrapText="1"/>
    </xf>
    <xf numFmtId="4" fontId="13" fillId="0" borderId="1" xfId="3" applyNumberFormat="1" applyFont="1" applyFill="1" applyBorder="1" applyAlignment="1">
      <alignment horizontal="center" vertical="center" wrapText="1"/>
    </xf>
    <xf numFmtId="3" fontId="14" fillId="7" borderId="1" xfId="2" applyNumberFormat="1" applyFont="1" applyFill="1" applyBorder="1" applyAlignment="1">
      <alignment horizontal="center" vertical="center" wrapText="1"/>
    </xf>
    <xf numFmtId="4" fontId="14" fillId="0" borderId="1" xfId="2" applyNumberFormat="1" applyFont="1" applyFill="1" applyBorder="1" applyAlignment="1">
      <alignment horizontal="center" vertical="center" wrapText="1"/>
    </xf>
    <xf numFmtId="10" fontId="14" fillId="0" borderId="1" xfId="3" applyNumberFormat="1" applyFont="1" applyFill="1" applyBorder="1" applyAlignment="1">
      <alignment horizontal="center" vertical="center" wrapText="1"/>
    </xf>
    <xf numFmtId="43" fontId="14" fillId="0" borderId="1" xfId="1" applyFont="1" applyFill="1" applyBorder="1" applyAlignment="1">
      <alignment horizontal="center" vertical="center" wrapText="1"/>
    </xf>
    <xf numFmtId="10" fontId="14" fillId="8" borderId="1" xfId="0" applyNumberFormat="1" applyFont="1" applyFill="1" applyBorder="1" applyAlignment="1">
      <alignment horizontal="center" vertical="center" wrapText="1"/>
    </xf>
    <xf numFmtId="1" fontId="14" fillId="0" borderId="1" xfId="0" applyNumberFormat="1" applyFont="1" applyBorder="1" applyAlignment="1">
      <alignment horizontal="center" vertical="center" wrapText="1"/>
    </xf>
    <xf numFmtId="0" fontId="12" fillId="4" borderId="5" xfId="0" applyFont="1" applyFill="1" applyBorder="1" applyAlignment="1">
      <alignment horizontal="center" vertical="center" wrapText="1"/>
    </xf>
    <xf numFmtId="10" fontId="13" fillId="0" borderId="1" xfId="3" applyNumberFormat="1" applyFont="1" applyBorder="1" applyAlignment="1">
      <alignment horizontal="center" vertical="center" wrapText="1"/>
    </xf>
    <xf numFmtId="0" fontId="17" fillId="0" borderId="1" xfId="0" applyFont="1" applyBorder="1" applyAlignment="1">
      <alignment horizontal="center" vertical="center" wrapText="1"/>
    </xf>
    <xf numFmtId="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9" fontId="14" fillId="7" borderId="1" xfId="2" applyNumberFormat="1" applyFont="1" applyFill="1" applyBorder="1" applyAlignment="1">
      <alignment horizontal="center" vertical="center" wrapText="1"/>
    </xf>
    <xf numFmtId="0" fontId="18" fillId="0" borderId="0" xfId="0" applyFont="1"/>
    <xf numFmtId="10" fontId="14" fillId="0" borderId="1" xfId="0" applyNumberFormat="1" applyFont="1" applyBorder="1" applyAlignment="1">
      <alignment horizontal="center" vertical="top" wrapText="1"/>
    </xf>
    <xf numFmtId="10" fontId="13" fillId="9" borderId="1" xfId="0" applyNumberFormat="1" applyFont="1" applyFill="1" applyBorder="1" applyAlignment="1">
      <alignment vertical="center" wrapText="1"/>
    </xf>
    <xf numFmtId="0" fontId="12" fillId="0" borderId="1" xfId="0" applyFont="1" applyBorder="1" applyAlignment="1">
      <alignment horizontal="center" vertical="center"/>
    </xf>
    <xf numFmtId="0" fontId="15" fillId="14" borderId="1" xfId="0" applyFont="1" applyFill="1" applyBorder="1" applyAlignment="1">
      <alignment horizontal="center" vertical="center" wrapText="1"/>
    </xf>
    <xf numFmtId="10" fontId="15" fillId="14" borderId="1" xfId="3" applyNumberFormat="1" applyFont="1" applyFill="1" applyBorder="1" applyAlignment="1">
      <alignment horizontal="center" vertical="center" wrapText="1"/>
    </xf>
    <xf numFmtId="10" fontId="13" fillId="0" borderId="1" xfId="0" applyNumberFormat="1" applyFont="1" applyBorder="1" applyAlignment="1">
      <alignment horizontal="center" vertical="top" wrapText="1"/>
    </xf>
    <xf numFmtId="0" fontId="11" fillId="15" borderId="1" xfId="0" applyFont="1" applyFill="1" applyBorder="1" applyAlignment="1">
      <alignment horizontal="center" vertical="center" wrapText="1"/>
    </xf>
    <xf numFmtId="10" fontId="13" fillId="16" borderId="1" xfId="0" applyNumberFormat="1" applyFont="1" applyFill="1" applyBorder="1" applyAlignment="1">
      <alignment horizontal="center" vertical="center" wrapText="1"/>
    </xf>
    <xf numFmtId="0" fontId="11" fillId="15" borderId="5" xfId="0" applyFont="1" applyFill="1" applyBorder="1" applyAlignment="1">
      <alignment horizontal="center" vertical="center" wrapText="1"/>
    </xf>
    <xf numFmtId="10" fontId="13" fillId="0" borderId="5" xfId="0" applyNumberFormat="1" applyFont="1" applyBorder="1" applyAlignment="1">
      <alignment horizontal="center" vertical="center" wrapText="1"/>
    </xf>
    <xf numFmtId="0" fontId="13" fillId="9" borderId="1" xfId="0" applyFont="1" applyFill="1" applyBorder="1" applyAlignment="1">
      <alignment horizontal="center" vertical="center" wrapText="1"/>
    </xf>
    <xf numFmtId="9" fontId="13" fillId="9" borderId="1" xfId="0" applyNumberFormat="1" applyFont="1" applyFill="1" applyBorder="1" applyAlignment="1">
      <alignment horizontal="center" vertical="center" wrapText="1"/>
    </xf>
    <xf numFmtId="0" fontId="17" fillId="0" borderId="0" xfId="0" applyFont="1" applyAlignment="1">
      <alignment horizontal="center" vertical="center" wrapText="1"/>
    </xf>
    <xf numFmtId="0" fontId="19" fillId="0" borderId="0" xfId="0" applyFont="1" applyAlignment="1">
      <alignment horizontal="center" vertical="center" wrapText="1"/>
    </xf>
    <xf numFmtId="9" fontId="19" fillId="0" borderId="0" xfId="0" applyNumberFormat="1" applyFont="1" applyAlignment="1">
      <alignment horizontal="center" vertical="center" wrapText="1"/>
    </xf>
    <xf numFmtId="0" fontId="19" fillId="0" borderId="0" xfId="0" applyFont="1" applyAlignment="1">
      <alignment horizontal="justify" vertical="center" wrapText="1"/>
    </xf>
    <xf numFmtId="0" fontId="20" fillId="0" borderId="0" xfId="0" applyFont="1"/>
    <xf numFmtId="0" fontId="21" fillId="0" borderId="0" xfId="0" applyFont="1" applyAlignment="1">
      <alignment vertical="center"/>
    </xf>
    <xf numFmtId="0" fontId="22" fillId="0" borderId="0" xfId="0" applyFont="1" applyAlignment="1">
      <alignment vertical="center"/>
    </xf>
    <xf numFmtId="0" fontId="22" fillId="0" borderId="0" xfId="0" applyFont="1" applyAlignment="1">
      <alignment horizontal="left" vertical="center"/>
    </xf>
    <xf numFmtId="0" fontId="21" fillId="0" borderId="0" xfId="0" applyFont="1" applyAlignment="1">
      <alignment horizontal="center"/>
    </xf>
    <xf numFmtId="0" fontId="23" fillId="0" borderId="0" xfId="0" applyFont="1" applyAlignment="1">
      <alignment horizontal="center"/>
    </xf>
    <xf numFmtId="0" fontId="23" fillId="0" borderId="0" xfId="0" applyFont="1" applyAlignment="1">
      <alignment horizontal="center" vertical="center"/>
    </xf>
    <xf numFmtId="0" fontId="23" fillId="0" borderId="0" xfId="0" applyFont="1"/>
    <xf numFmtId="0" fontId="6" fillId="0" borderId="0" xfId="0" applyFont="1" applyAlignment="1">
      <alignment horizontal="left"/>
    </xf>
    <xf numFmtId="0" fontId="6" fillId="0" borderId="0" xfId="0" applyFont="1" applyAlignment="1">
      <alignment horizontal="center"/>
    </xf>
    <xf numFmtId="0" fontId="8" fillId="0" borderId="0" xfId="0" applyFont="1" applyAlignment="1">
      <alignment horizontal="right"/>
    </xf>
    <xf numFmtId="0" fontId="6" fillId="0" borderId="0" xfId="0" applyFont="1" applyAlignment="1">
      <alignment vertical="center"/>
    </xf>
    <xf numFmtId="2" fontId="13" fillId="8" borderId="1" xfId="0" applyNumberFormat="1" applyFont="1" applyFill="1" applyBorder="1" applyAlignment="1">
      <alignment horizontal="center" vertical="center" wrapText="1"/>
    </xf>
    <xf numFmtId="0" fontId="14" fillId="8" borderId="1" xfId="0" applyFont="1" applyFill="1" applyBorder="1" applyAlignment="1">
      <alignment horizontal="center" vertical="center" wrapText="1"/>
    </xf>
    <xf numFmtId="10" fontId="13" fillId="8" borderId="1" xfId="3" applyNumberFormat="1" applyFont="1" applyFill="1" applyBorder="1" applyAlignment="1">
      <alignment horizontal="center" vertical="center" wrapText="1"/>
    </xf>
    <xf numFmtId="43" fontId="14" fillId="8" borderId="1" xfId="0" applyNumberFormat="1" applyFont="1" applyFill="1" applyBorder="1" applyAlignment="1">
      <alignment horizontal="center" vertical="center" wrapText="1"/>
    </xf>
    <xf numFmtId="43" fontId="14" fillId="8" borderId="1" xfId="1" applyFont="1" applyFill="1" applyBorder="1" applyAlignment="1">
      <alignment horizontal="center" vertical="center" wrapText="1"/>
    </xf>
    <xf numFmtId="9" fontId="14" fillId="8" borderId="1" xfId="3" applyFont="1" applyFill="1" applyBorder="1" applyAlignment="1">
      <alignment horizontal="center" vertical="center" wrapText="1"/>
    </xf>
    <xf numFmtId="0" fontId="25" fillId="8" borderId="1" xfId="0" applyFont="1" applyFill="1" applyBorder="1" applyAlignment="1">
      <alignment horizontal="center" vertical="center" wrapText="1"/>
    </xf>
    <xf numFmtId="9" fontId="13" fillId="8" borderId="1" xfId="0" applyNumberFormat="1" applyFont="1" applyFill="1" applyBorder="1" applyAlignment="1">
      <alignment horizontal="center" vertical="center" wrapText="1"/>
    </xf>
    <xf numFmtId="10" fontId="13" fillId="8" borderId="5" xfId="0" applyNumberFormat="1" applyFont="1" applyFill="1" applyBorder="1" applyAlignment="1">
      <alignment horizontal="center" vertical="center" wrapText="1"/>
    </xf>
    <xf numFmtId="13" fontId="13" fillId="8" borderId="1" xfId="0" applyNumberFormat="1" applyFont="1" applyFill="1" applyBorder="1" applyAlignment="1">
      <alignment horizontal="center" vertical="center" wrapText="1"/>
    </xf>
    <xf numFmtId="10" fontId="13" fillId="8" borderId="1" xfId="0" applyNumberFormat="1" applyFont="1" applyFill="1" applyBorder="1" applyAlignment="1">
      <alignment horizontal="center" vertical="center" wrapText="1"/>
    </xf>
    <xf numFmtId="0" fontId="13" fillId="8"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10" fontId="14" fillId="8" borderId="1" xfId="0" applyNumberFormat="1" applyFont="1" applyFill="1" applyBorder="1" applyAlignment="1">
      <alignment horizontal="center" vertical="center" wrapText="1"/>
    </xf>
    <xf numFmtId="9" fontId="13" fillId="8" borderId="1" xfId="3" applyFont="1" applyFill="1" applyBorder="1" applyAlignment="1">
      <alignment horizontal="center" vertical="center" wrapText="1"/>
    </xf>
    <xf numFmtId="0" fontId="17" fillId="8" borderId="1" xfId="0" applyFont="1" applyFill="1" applyBorder="1" applyAlignment="1">
      <alignment horizontal="center" vertical="center" wrapText="1"/>
    </xf>
    <xf numFmtId="9" fontId="15" fillId="8" borderId="1" xfId="3" applyFont="1" applyFill="1" applyBorder="1" applyAlignment="1">
      <alignment horizontal="center" vertical="center" wrapText="1"/>
    </xf>
    <xf numFmtId="10" fontId="15" fillId="8" borderId="1" xfId="0" applyNumberFormat="1" applyFont="1" applyFill="1" applyBorder="1" applyAlignment="1">
      <alignment horizontal="center" vertical="center" wrapText="1"/>
    </xf>
    <xf numFmtId="10" fontId="15" fillId="8" borderId="1" xfId="3"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2" borderId="5" xfId="0" applyFont="1" applyFill="1" applyBorder="1" applyAlignment="1">
      <alignment horizontal="center" vertical="center" textRotation="90" wrapText="1"/>
    </xf>
    <xf numFmtId="0" fontId="10" fillId="2" borderId="6" xfId="0" applyFont="1" applyFill="1" applyBorder="1" applyAlignment="1">
      <alignment horizontal="center" vertical="center" textRotation="90" wrapText="1"/>
    </xf>
    <xf numFmtId="0" fontId="10" fillId="2" borderId="7" xfId="0" applyFont="1" applyFill="1" applyBorder="1" applyAlignment="1">
      <alignment horizontal="center" vertical="center" textRotation="90" wrapText="1"/>
    </xf>
    <xf numFmtId="0" fontId="11" fillId="2" borderId="1"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9" fontId="13" fillId="0" borderId="5" xfId="3" applyFont="1" applyFill="1" applyBorder="1" applyAlignment="1">
      <alignment horizontal="center" vertical="center" wrapText="1"/>
    </xf>
    <xf numFmtId="9" fontId="13" fillId="0" borderId="6" xfId="3" applyFont="1" applyFill="1" applyBorder="1" applyAlignment="1">
      <alignment horizontal="center" vertical="center" wrapText="1"/>
    </xf>
    <xf numFmtId="9" fontId="13" fillId="0" borderId="7" xfId="3"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12" fillId="0" borderId="1" xfId="0" applyFont="1" applyBorder="1" applyAlignment="1">
      <alignment horizontal="center" vertical="center" wrapText="1"/>
    </xf>
    <xf numFmtId="10" fontId="13" fillId="0" borderId="5" xfId="0" applyNumberFormat="1" applyFont="1" applyBorder="1" applyAlignment="1">
      <alignment horizontal="center" vertical="center" wrapText="1"/>
    </xf>
    <xf numFmtId="10" fontId="13" fillId="0" borderId="6" xfId="0" applyNumberFormat="1" applyFont="1" applyBorder="1" applyAlignment="1">
      <alignment horizontal="center" vertical="center" wrapText="1"/>
    </xf>
    <xf numFmtId="10" fontId="13" fillId="0" borderId="7" xfId="0" applyNumberFormat="1" applyFont="1" applyBorder="1" applyAlignment="1">
      <alignment horizontal="center" vertical="center" wrapText="1"/>
    </xf>
    <xf numFmtId="10" fontId="13" fillId="0" borderId="5" xfId="3" applyNumberFormat="1" applyFont="1" applyBorder="1" applyAlignment="1">
      <alignment horizontal="center" vertical="center" wrapText="1"/>
    </xf>
    <xf numFmtId="10" fontId="13" fillId="0" borderId="7" xfId="3" applyNumberFormat="1" applyFont="1" applyBorder="1" applyAlignment="1">
      <alignment horizontal="center" vertical="center" wrapText="1"/>
    </xf>
    <xf numFmtId="9" fontId="13" fillId="8" borderId="5" xfId="3" applyFont="1" applyFill="1" applyBorder="1" applyAlignment="1">
      <alignment horizontal="center" vertical="center" wrapText="1"/>
    </xf>
    <xf numFmtId="9" fontId="13" fillId="8" borderId="6" xfId="3" applyFont="1" applyFill="1" applyBorder="1" applyAlignment="1">
      <alignment horizontal="center" vertical="center" wrapText="1"/>
    </xf>
    <xf numFmtId="9" fontId="13" fillId="8" borderId="7" xfId="3" applyFont="1" applyFill="1" applyBorder="1" applyAlignment="1">
      <alignment horizontal="center" vertical="center" wrapText="1"/>
    </xf>
    <xf numFmtId="10" fontId="13" fillId="8" borderId="5" xfId="0" applyNumberFormat="1" applyFont="1" applyFill="1" applyBorder="1" applyAlignment="1">
      <alignment horizontal="center" vertical="center" wrapText="1"/>
    </xf>
    <xf numFmtId="10" fontId="13" fillId="8" borderId="6" xfId="0" applyNumberFormat="1" applyFont="1" applyFill="1" applyBorder="1" applyAlignment="1">
      <alignment horizontal="center" vertical="center" wrapText="1"/>
    </xf>
    <xf numFmtId="10" fontId="13" fillId="8" borderId="7"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10" fontId="13" fillId="8" borderId="5" xfId="3" applyNumberFormat="1" applyFont="1" applyFill="1" applyBorder="1" applyAlignment="1">
      <alignment horizontal="center" vertical="center" wrapText="1"/>
    </xf>
    <xf numFmtId="10" fontId="13" fillId="8" borderId="7" xfId="3" applyNumberFormat="1" applyFont="1" applyFill="1" applyBorder="1" applyAlignment="1">
      <alignment horizontal="center" vertical="center" wrapText="1"/>
    </xf>
    <xf numFmtId="0" fontId="10" fillId="12" borderId="1" xfId="0" applyFont="1" applyFill="1" applyBorder="1" applyAlignment="1">
      <alignment horizontal="center" vertical="center" textRotation="90" wrapText="1"/>
    </xf>
    <xf numFmtId="0" fontId="11" fillId="12" borderId="1" xfId="0" applyFont="1" applyFill="1" applyBorder="1" applyAlignment="1">
      <alignment horizontal="center" vertical="center" wrapText="1"/>
    </xf>
    <xf numFmtId="10" fontId="14" fillId="0" borderId="5" xfId="3" applyNumberFormat="1" applyFont="1" applyFill="1" applyBorder="1" applyAlignment="1">
      <alignment horizontal="center" vertical="center" wrapText="1"/>
    </xf>
    <xf numFmtId="10" fontId="14" fillId="0" borderId="7" xfId="3" applyNumberFormat="1" applyFont="1" applyFill="1" applyBorder="1" applyAlignment="1">
      <alignment horizontal="center" vertical="center" wrapText="1"/>
    </xf>
    <xf numFmtId="10" fontId="14" fillId="8" borderId="5" xfId="3" applyNumberFormat="1" applyFont="1" applyFill="1" applyBorder="1" applyAlignment="1">
      <alignment horizontal="center" vertical="center" wrapText="1"/>
    </xf>
    <xf numFmtId="10" fontId="14" fillId="8" borderId="7" xfId="3" applyNumberFormat="1"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wrapText="1"/>
    </xf>
    <xf numFmtId="10" fontId="14" fillId="8" borderId="5" xfId="0" applyNumberFormat="1" applyFont="1" applyFill="1" applyBorder="1" applyAlignment="1">
      <alignment horizontal="center" vertical="center" wrapText="1"/>
    </xf>
    <xf numFmtId="10" fontId="14" fillId="8" borderId="6" xfId="0" applyNumberFormat="1" applyFont="1" applyFill="1" applyBorder="1" applyAlignment="1">
      <alignment horizontal="center" vertical="center" wrapText="1"/>
    </xf>
    <xf numFmtId="10" fontId="14" fillId="8" borderId="7" xfId="0" applyNumberFormat="1" applyFont="1" applyFill="1" applyBorder="1" applyAlignment="1">
      <alignment horizontal="center" vertical="center" wrapText="1"/>
    </xf>
    <xf numFmtId="0" fontId="10" fillId="13" borderId="1" xfId="0" applyFont="1" applyFill="1" applyBorder="1" applyAlignment="1">
      <alignment horizontal="center" vertical="center" textRotation="90" wrapText="1"/>
    </xf>
    <xf numFmtId="0" fontId="11" fillId="13" borderId="1" xfId="0" applyFont="1" applyFill="1" applyBorder="1" applyAlignment="1">
      <alignment horizontal="center" vertical="center" wrapText="1"/>
    </xf>
    <xf numFmtId="10" fontId="13" fillId="0" borderId="6" xfId="3" applyNumberFormat="1" applyFont="1" applyBorder="1" applyAlignment="1">
      <alignment horizontal="center" vertical="center" wrapText="1"/>
    </xf>
    <xf numFmtId="10" fontId="13" fillId="8" borderId="6" xfId="3" applyNumberFormat="1" applyFont="1" applyFill="1" applyBorder="1" applyAlignment="1">
      <alignment horizontal="center" vertical="center" wrapText="1"/>
    </xf>
    <xf numFmtId="10" fontId="14" fillId="0" borderId="5" xfId="0" applyNumberFormat="1" applyFont="1" applyBorder="1" applyAlignment="1">
      <alignment horizontal="center" vertical="center" wrapText="1"/>
    </xf>
    <xf numFmtId="10" fontId="14" fillId="0" borderId="6" xfId="0" applyNumberFormat="1" applyFont="1" applyBorder="1" applyAlignment="1">
      <alignment horizontal="center" vertical="center" wrapText="1"/>
    </xf>
    <xf numFmtId="10" fontId="14" fillId="0" borderId="7" xfId="0" applyNumberFormat="1" applyFont="1" applyBorder="1" applyAlignment="1">
      <alignment horizontal="center" vertical="center" wrapText="1"/>
    </xf>
    <xf numFmtId="0" fontId="11" fillId="13" borderId="5" xfId="0" applyFont="1" applyFill="1" applyBorder="1" applyAlignment="1">
      <alignment horizontal="center" vertical="center" wrapText="1"/>
    </xf>
    <xf numFmtId="0" fontId="11" fillId="13" borderId="7" xfId="0" applyFont="1" applyFill="1" applyBorder="1" applyAlignment="1">
      <alignment horizontal="center" vertical="center" wrapText="1"/>
    </xf>
    <xf numFmtId="10" fontId="13" fillId="9" borderId="5" xfId="0" applyNumberFormat="1" applyFont="1" applyFill="1" applyBorder="1" applyAlignment="1">
      <alignment horizontal="center" vertical="center" wrapText="1"/>
    </xf>
    <xf numFmtId="10" fontId="13" fillId="9" borderId="7" xfId="0" applyNumberFormat="1" applyFont="1" applyFill="1" applyBorder="1" applyAlignment="1">
      <alignment horizontal="center" vertical="center" wrapText="1"/>
    </xf>
    <xf numFmtId="0" fontId="10" fillId="15" borderId="1" xfId="0" applyFont="1" applyFill="1" applyBorder="1" applyAlignment="1">
      <alignment horizontal="center" vertical="center" textRotation="90" wrapText="1"/>
    </xf>
    <xf numFmtId="10" fontId="15" fillId="14" borderId="5" xfId="3" applyNumberFormat="1" applyFont="1" applyFill="1" applyBorder="1" applyAlignment="1">
      <alignment horizontal="center" vertical="center" wrapText="1"/>
    </xf>
    <xf numFmtId="10" fontId="15" fillId="14" borderId="6" xfId="3" applyNumberFormat="1" applyFont="1" applyFill="1" applyBorder="1" applyAlignment="1">
      <alignment horizontal="center" vertical="center" wrapText="1"/>
    </xf>
    <xf numFmtId="10" fontId="15" fillId="14" borderId="7" xfId="3" applyNumberFormat="1" applyFont="1" applyFill="1" applyBorder="1" applyAlignment="1">
      <alignment horizontal="center" vertical="center" wrapText="1"/>
    </xf>
    <xf numFmtId="10" fontId="15" fillId="17" borderId="5" xfId="3" applyNumberFormat="1" applyFont="1" applyFill="1" applyBorder="1" applyAlignment="1">
      <alignment horizontal="center" vertical="center" wrapText="1"/>
    </xf>
    <xf numFmtId="10" fontId="15" fillId="17" borderId="6" xfId="3" applyNumberFormat="1" applyFont="1" applyFill="1" applyBorder="1" applyAlignment="1">
      <alignment horizontal="center" vertical="center" wrapText="1"/>
    </xf>
    <xf numFmtId="10" fontId="15" fillId="17" borderId="7" xfId="3" applyNumberFormat="1" applyFont="1" applyFill="1" applyBorder="1" applyAlignment="1">
      <alignment horizontal="center" vertical="center" wrapText="1"/>
    </xf>
  </cellXfs>
  <cellStyles count="7">
    <cellStyle name="Millares" xfId="1" builtinId="3"/>
    <cellStyle name="Millares [0]" xfId="2" builtinId="6"/>
    <cellStyle name="Millares [0] 2" xfId="6" xr:uid="{9707DEB1-6B3E-48F7-8C20-12429FBACF6A}"/>
    <cellStyle name="Millares 2" xfId="5" xr:uid="{CA970993-62CE-4BB4-A756-AA2068D5F882}"/>
    <cellStyle name="Millares 3" xfId="4" xr:uid="{819DC1DF-DE7F-43A0-B5AA-6B7B8116579B}"/>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1830994</xdr:colOff>
      <xdr:row>0</xdr:row>
      <xdr:rowOff>14941</xdr:rowOff>
    </xdr:from>
    <xdr:to>
      <xdr:col>28</xdr:col>
      <xdr:colOff>101977</xdr:colOff>
      <xdr:row>0</xdr:row>
      <xdr:rowOff>741223</xdr:rowOff>
    </xdr:to>
    <xdr:pic>
      <xdr:nvPicPr>
        <xdr:cNvPr id="2" name="Imagen 1" descr="Imagen que contiene objeto&#10;&#10;Descripción generada automáticamente">
          <a:extLst>
            <a:ext uri="{FF2B5EF4-FFF2-40B4-BE49-F238E27FC236}">
              <a16:creationId xmlns:a16="http://schemas.microsoft.com/office/drawing/2014/main" id="{33FFD09E-E656-437D-9B6A-36A9C5EE65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9244" y="14941"/>
          <a:ext cx="1642834" cy="7262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PROCESO"/>
      <sheetName val="Listas Nuevas"/>
      <sheetName val="Mapa de Riesgos"/>
      <sheetName val="MATRIZ DE CALIFICACIÓN"/>
      <sheetName val="Impacto Corrupcion"/>
      <sheetName val="Evaluación Diseño Control"/>
      <sheetName val="Autoseguimientos"/>
      <sheetName val="Hoja1"/>
      <sheetName val="Evalua Control"/>
      <sheetName val="CONTEXTO ORGANIZACIONAL"/>
      <sheetName val="MAPA RIESGOS PROCESO"/>
      <sheetName val="Monitoreo"/>
      <sheetName val="Listas"/>
      <sheetName val="INDICE"/>
      <sheetName val="ACTIVIDADES"/>
      <sheetName val="RESUMEN DE PROYECTO"/>
      <sheetName val="CADENA DE VALOR"/>
      <sheetName val="METAS PDD"/>
      <sheetName val="PRODUCTOS MGA"/>
      <sheetName val="METAS - TAREAS"/>
      <sheetName val="ACTIVIDADES - CUALITATIVO"/>
      <sheetName val="INDICADORES DE GESTION"/>
      <sheetName val="ACTIVIDADES2020"/>
      <sheetName val="META-ACTIVIDADES"/>
      <sheetName val="ACTIVIDADES 2021"/>
      <sheetName val="INFORME CUALITATIVO"/>
      <sheetName val="ACTIVIDADES -TAREAS"/>
    </sheetNames>
    <sheetDataSet>
      <sheetData sheetId="0"/>
      <sheetData sheetId="1">
        <row r="2">
          <cell r="A2" t="str">
            <v>Políticos</v>
          </cell>
          <cell r="B2" t="str">
            <v>Financieros</v>
          </cell>
          <cell r="C2" t="str">
            <v>Diseño del proceso</v>
          </cell>
          <cell r="E2" t="str">
            <v>Riesgo_Estratégico</v>
          </cell>
          <cell r="L2" t="str">
            <v>5. Se espera que el evento ocurra en la mayoría de las circunstancias
Orientador (Más de 1 vez al año)</v>
          </cell>
          <cell r="P2" t="str">
            <v>PREVENTIVOS</v>
          </cell>
          <cell r="R2" t="str">
            <v>Nivel Central</v>
          </cell>
          <cell r="T2" t="str">
            <v>FUERTE</v>
          </cell>
        </row>
        <row r="3">
          <cell r="A3" t="str">
            <v>Económicos y financieros</v>
          </cell>
          <cell r="B3" t="str">
            <v>Personal</v>
          </cell>
          <cell r="C3" t="str">
            <v>Interacciones con otros procesos</v>
          </cell>
          <cell r="E3" t="str">
            <v>Riesgo_Gerencial</v>
          </cell>
          <cell r="L3" t="str">
            <v>4. El evento probablemente ocurrirá en la mayoría de las circunstancias
Orientador (Al menos de 1 vez en el último año)</v>
          </cell>
          <cell r="P3" t="str">
            <v>DETECTIVOS</v>
          </cell>
          <cell r="R3" t="str">
            <v>Nivel Territorial</v>
          </cell>
          <cell r="T3" t="str">
            <v>MODERADO</v>
          </cell>
          <cell r="AM3" t="str">
            <v>Confidencialidad</v>
          </cell>
          <cell r="AR3" t="str">
            <v>ARTICULACIÓN INTERINSTITUCIONAL</v>
          </cell>
        </row>
        <row r="4">
          <cell r="A4" t="str">
            <v>Sociales y culturales</v>
          </cell>
          <cell r="B4" t="str">
            <v>Procesos</v>
          </cell>
          <cell r="C4" t="str">
            <v>Transversalidad</v>
          </cell>
          <cell r="E4" t="str">
            <v>Riesgo_Operativo</v>
          </cell>
          <cell r="L4" t="str">
            <v>3. El evento podría ocurrir en algún momento
Orientador (Al menos de 1 vez en los últimos 2 años)</v>
          </cell>
          <cell r="R4" t="str">
            <v>Nivel Central y Territorial</v>
          </cell>
          <cell r="T4" t="str">
            <v>DÉBIL</v>
          </cell>
          <cell r="AM4" t="str">
            <v>Integridad</v>
          </cell>
          <cell r="AR4" t="str">
            <v>ATENCIÓN A LA CIUDADANÍA</v>
          </cell>
        </row>
        <row r="5">
          <cell r="A5" t="str">
            <v xml:space="preserve">Tecnológicos </v>
          </cell>
          <cell r="B5" t="str">
            <v>Tecnología</v>
          </cell>
          <cell r="C5" t="str">
            <v>Procedimientos asociados</v>
          </cell>
          <cell r="E5" t="str">
            <v>Riesgo_Financiero</v>
          </cell>
          <cell r="L5" t="str">
            <v>2. El evento puede ocurrir en algún momento
Orientador
(Al menos de 1 vez en los últimos 5 años)</v>
          </cell>
          <cell r="AM5" t="str">
            <v>Disponibilidad</v>
          </cell>
          <cell r="AR5" t="str">
            <v>CARACTERIZACIONES Y REGISTRO 
(GESTIÓN DE RESTITUCIÓN DE DERECHOS ÉTNICOS TERRITORIALES)</v>
          </cell>
        </row>
        <row r="6">
          <cell r="A6" t="str">
            <v xml:space="preserve">Ambientales </v>
          </cell>
          <cell r="B6" t="str">
            <v>Estratégicos</v>
          </cell>
          <cell r="C6" t="str">
            <v>Responsables del proceso</v>
          </cell>
          <cell r="E6" t="str">
            <v>Riesgo_de_Tecnologico</v>
          </cell>
          <cell r="L6" t="str">
            <v>1. El evento puede ocurrir solo en circunstancias excepcionales.
Orientador (No se ha presentado en los últimos 5 años)</v>
          </cell>
          <cell r="AM6" t="str">
            <v>Confidencialidad e Integridad</v>
          </cell>
          <cell r="AR6" t="str">
            <v>CONTROL Y EVALUACION IDEPENDIENTE</v>
          </cell>
        </row>
        <row r="7">
          <cell r="A7" t="str">
            <v>Legales y reglamentarios</v>
          </cell>
          <cell r="B7" t="str">
            <v>Comunicación interna</v>
          </cell>
          <cell r="C7" t="str">
            <v>Comunicación entre los procesos</v>
          </cell>
          <cell r="E7" t="str">
            <v xml:space="preserve">Riesgo_de_Cumplimiento </v>
          </cell>
          <cell r="AM7" t="str">
            <v>Confidencialidad y Disponibilidad</v>
          </cell>
          <cell r="AR7" t="str">
            <v>DIRECCIONAMIENTO ESTRATÉGICO</v>
          </cell>
        </row>
        <row r="8">
          <cell r="A8" t="str">
            <v>Comunicación externa</v>
          </cell>
          <cell r="C8" t="str">
            <v>Activos de seguridad digital del proceso</v>
          </cell>
          <cell r="E8" t="str">
            <v>Riesgo_de_Imagen_o_Reputacional</v>
          </cell>
          <cell r="AM8" t="str">
            <v>Integridad y Disponibilidad</v>
          </cell>
          <cell r="AR8" t="str">
            <v>ETAPA JUDICIAL 
(GESTIÓN DE RESTITUCIÓN DE DERECHOS ÉTNICOS TERRITORIALES)</v>
          </cell>
        </row>
        <row r="9">
          <cell r="E9" t="str">
            <v>Riesgo_Legal</v>
          </cell>
          <cell r="AM9" t="str">
            <v>Confidencialidad, Integridad y Disponibilidad</v>
          </cell>
          <cell r="AR9" t="str">
            <v>ETAPA JUDICIAL 
(GESTIÓN DE RESTITUCIÓN LEY 1448)</v>
          </cell>
        </row>
        <row r="10">
          <cell r="E10" t="str">
            <v>Riesgo_de_Corrupción</v>
          </cell>
          <cell r="H10" t="str">
            <v>5. Catastrófico</v>
          </cell>
          <cell r="I10" t="str">
            <v>4. Mayor</v>
          </cell>
          <cell r="J10" t="str">
            <v>3. Moderado</v>
          </cell>
          <cell r="AR10" t="str">
            <v>GESTIÓN CONTRACTUAL</v>
          </cell>
        </row>
        <row r="11">
          <cell r="E11" t="str">
            <v>Riesgo_Seguridad_Digital</v>
          </cell>
          <cell r="F11" t="str">
            <v>5. Catastrófico</v>
          </cell>
          <cell r="G11" t="str">
            <v>4. Mayor</v>
          </cell>
          <cell r="H11" t="str">
            <v>3. Moderado</v>
          </cell>
          <cell r="I11" t="str">
            <v>2. Menor</v>
          </cell>
          <cell r="J11" t="str">
            <v>1.  Insignificante</v>
          </cell>
          <cell r="AR11" t="str">
            <v>GESTIÓN DE COMUNICACIONES</v>
          </cell>
        </row>
        <row r="12">
          <cell r="AR12" t="str">
            <v>GESTIÓN DOCUMENTAL</v>
          </cell>
        </row>
        <row r="13">
          <cell r="AR13" t="str">
            <v>GESTIÓN FINANCIERA</v>
          </cell>
        </row>
        <row r="14">
          <cell r="AR14" t="str">
            <v>GESTIÓN JURÍDICA</v>
          </cell>
        </row>
        <row r="15">
          <cell r="AR15" t="str">
            <v>GESTIÓN LOGÍSTICA Y DE RECURSOS FÍSICOS</v>
          </cell>
        </row>
        <row r="16">
          <cell r="AR16" t="str">
            <v>GESTION POSFALLO</v>
          </cell>
        </row>
        <row r="17">
          <cell r="AR17" t="str">
            <v>GESTIÓN TALENTO HUMANO</v>
          </cell>
        </row>
        <row r="18">
          <cell r="AR18" t="str">
            <v>GESTIÓN DE TIC</v>
          </cell>
        </row>
        <row r="19">
          <cell r="AR19" t="str">
            <v>MEDIDAS DE PREVENCIÓN 
(GESTIÓN DE RESTITUCIÓN DE DERECHOS ÉTNICOS TERRITORIALES)</v>
          </cell>
        </row>
        <row r="20">
          <cell r="AR20" t="str">
            <v>MEJORAMIENTO CONTINUO</v>
          </cell>
        </row>
        <row r="21">
          <cell r="AR21" t="str">
            <v>PREVENCIÓN Y GESTIÓN DE SEGURIDAD</v>
          </cell>
        </row>
        <row r="22">
          <cell r="AR22" t="str">
            <v>REGISTRO 
(GESTIÓN DE RESTITUCIÓN LEY 1448)</v>
          </cell>
        </row>
        <row r="23">
          <cell r="AR23" t="str">
            <v>RUPTA</v>
          </cell>
        </row>
      </sheetData>
      <sheetData sheetId="2"/>
      <sheetData sheetId="3"/>
      <sheetData sheetId="4"/>
      <sheetData sheetId="5"/>
      <sheetData sheetId="6"/>
      <sheetData sheetId="7"/>
      <sheetData sheetId="8"/>
      <sheetData sheetId="9"/>
      <sheetData sheetId="10"/>
      <sheetData sheetId="11"/>
      <sheetData sheetId="12" refreshError="1">
        <row r="3">
          <cell r="F3" t="str">
            <v>Preventivo</v>
          </cell>
        </row>
        <row r="4">
          <cell r="F4" t="str">
            <v>Correctivo</v>
          </cell>
        </row>
        <row r="5">
          <cell r="F5" t="str">
            <v>Detectivos</v>
          </cell>
        </row>
      </sheetData>
      <sheetData sheetId="13" refreshError="1"/>
      <sheetData sheetId="14">
        <row r="11">
          <cell r="J11">
            <v>0.1575</v>
          </cell>
        </row>
      </sheetData>
      <sheetData sheetId="15">
        <row r="6">
          <cell r="D6" t="str">
            <v>7877 – Fortalecimiento de la gestión y el conocimiento jurídico en el DADEP, para la defensa del espacio público y el patrimonio</v>
          </cell>
        </row>
      </sheetData>
      <sheetData sheetId="16" refreshError="1"/>
      <sheetData sheetId="17" refreshError="1"/>
      <sheetData sheetId="18" refreshError="1"/>
      <sheetData sheetId="19"/>
      <sheetData sheetId="20">
        <row r="21">
          <cell r="S21" t="str">
            <v>1. Matriz Plan Anual de Adquisiciones que incorpora modificaciones.
2. Documento equivalente de solicitud de modificación contractual para prestación de servicios de la OAJ
3. Matriz de información con modificaciones de la Master
4. ABC que se encuentra en fase de validación y aprobación</v>
          </cell>
        </row>
      </sheetData>
      <sheetData sheetId="21" refreshError="1"/>
      <sheetData sheetId="22"/>
      <sheetData sheetId="23">
        <row r="17">
          <cell r="F17">
            <v>0.4</v>
          </cell>
        </row>
      </sheetData>
      <sheetData sheetId="24">
        <row r="81">
          <cell r="J81">
            <v>1.2500000000000001E-2</v>
          </cell>
        </row>
      </sheetData>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DCC51-8CA4-44D7-9A4D-C2EA12692307}">
  <dimension ref="A1:AF46"/>
  <sheetViews>
    <sheetView showGridLines="0" tabSelected="1" topLeftCell="B1" zoomScale="70" zoomScaleNormal="70" zoomScaleSheetLayoutView="80" workbookViewId="0">
      <pane ySplit="1570" activePane="bottomLeft"/>
      <selection activeCell="B1" sqref="B1"/>
      <selection pane="bottomLeft" activeCell="Y5" sqref="Y5"/>
    </sheetView>
  </sheetViews>
  <sheetFormatPr baseColWidth="10" defaultColWidth="11.453125" defaultRowHeight="14.5" x14ac:dyDescent="0.35"/>
  <cols>
    <col min="1" max="1" width="24.26953125" style="1" customWidth="1"/>
    <col min="2" max="2" width="6.453125" style="1" customWidth="1"/>
    <col min="3" max="3" width="18.453125" style="69" customWidth="1"/>
    <col min="4" max="4" width="15.54296875" style="70" customWidth="1"/>
    <col min="5" max="5" width="6.7265625" style="70" customWidth="1"/>
    <col min="6" max="6" width="32" style="71" customWidth="1"/>
    <col min="7" max="7" width="10.1796875" style="72" customWidth="1"/>
    <col min="8" max="8" width="17.453125" style="73" hidden="1" customWidth="1"/>
    <col min="9" max="10" width="9.1796875" style="73" hidden="1" customWidth="1"/>
    <col min="11" max="11" width="21.7265625" style="74" hidden="1" customWidth="1"/>
    <col min="12" max="12" width="19.26953125" style="73" hidden="1" customWidth="1"/>
    <col min="13" max="13" width="11" style="73" hidden="1" customWidth="1"/>
    <col min="14" max="14" width="13.453125" style="73" hidden="1" customWidth="1"/>
    <col min="15" max="15" width="21.7265625" style="74" hidden="1" customWidth="1"/>
    <col min="16" max="16" width="20" style="75" hidden="1" customWidth="1"/>
    <col min="17" max="17" width="15.7265625" style="75" hidden="1" customWidth="1"/>
    <col min="18" max="18" width="13.453125" style="75" hidden="1" customWidth="1"/>
    <col min="19" max="19" width="33.26953125" style="74" hidden="1" customWidth="1"/>
    <col min="20" max="20" width="16.81640625" style="75" customWidth="1"/>
    <col min="21" max="21" width="10.81640625" style="75" customWidth="1"/>
    <col min="22" max="22" width="13.453125" style="75" customWidth="1"/>
    <col min="23" max="23" width="35.08984375" style="74" customWidth="1"/>
    <col min="24" max="24" width="8.1796875" style="74" bestFit="1" customWidth="1"/>
    <col min="25" max="25" width="13.7265625" style="72" bestFit="1" customWidth="1"/>
    <col min="26" max="26" width="9.453125" style="72" bestFit="1" customWidth="1"/>
    <col min="27" max="27" width="37.54296875" style="76" customWidth="1"/>
    <col min="28" max="28" width="10.7265625" style="77" customWidth="1"/>
    <col min="29" max="29" width="13.1796875" style="77" customWidth="1"/>
    <col min="30" max="31" width="11.453125" style="1" customWidth="1"/>
    <col min="32" max="16384" width="11.453125" style="1"/>
  </cols>
  <sheetData>
    <row r="1" spans="1:32" ht="63" customHeight="1" x14ac:dyDescent="0.35">
      <c r="A1" s="110" t="s">
        <v>0</v>
      </c>
      <c r="B1" s="110"/>
      <c r="C1" s="110"/>
      <c r="D1" s="110"/>
      <c r="E1" s="110"/>
      <c r="F1" s="110"/>
      <c r="G1" s="111" t="s">
        <v>1</v>
      </c>
      <c r="H1" s="112" t="s">
        <v>2</v>
      </c>
      <c r="I1" s="113"/>
      <c r="J1" s="113"/>
      <c r="K1" s="113"/>
      <c r="L1" s="113"/>
      <c r="M1" s="113"/>
      <c r="N1" s="113"/>
      <c r="O1" s="113"/>
      <c r="P1" s="113"/>
      <c r="Q1" s="113"/>
      <c r="R1" s="113"/>
      <c r="S1" s="113"/>
      <c r="T1" s="113"/>
      <c r="U1" s="113"/>
      <c r="V1" s="113"/>
      <c r="W1" s="114"/>
      <c r="X1" s="115"/>
      <c r="Y1" s="115"/>
      <c r="Z1" s="115"/>
      <c r="AA1" s="115"/>
      <c r="AB1" s="115"/>
      <c r="AC1" s="115"/>
    </row>
    <row r="2" spans="1:32" s="4" customFormat="1" ht="35.15" customHeight="1" x14ac:dyDescent="0.35">
      <c r="A2" s="2" t="s">
        <v>3</v>
      </c>
      <c r="B2" s="116" t="s">
        <v>4</v>
      </c>
      <c r="C2" s="116"/>
      <c r="D2" s="2" t="s">
        <v>5</v>
      </c>
      <c r="E2" s="2" t="s">
        <v>6</v>
      </c>
      <c r="F2" s="2" t="s">
        <v>7</v>
      </c>
      <c r="G2" s="111"/>
      <c r="H2" s="2" t="s">
        <v>8</v>
      </c>
      <c r="I2" s="2" t="s">
        <v>9</v>
      </c>
      <c r="J2" s="2" t="s">
        <v>10</v>
      </c>
      <c r="K2" s="2" t="s">
        <v>11</v>
      </c>
      <c r="L2" s="2" t="s">
        <v>12</v>
      </c>
      <c r="M2" s="2" t="s">
        <v>13</v>
      </c>
      <c r="N2" s="2" t="s">
        <v>14</v>
      </c>
      <c r="O2" s="2" t="s">
        <v>15</v>
      </c>
      <c r="P2" s="3" t="s">
        <v>16</v>
      </c>
      <c r="Q2" s="2" t="s">
        <v>17</v>
      </c>
      <c r="R2" s="2" t="s">
        <v>18</v>
      </c>
      <c r="S2" s="2" t="s">
        <v>19</v>
      </c>
      <c r="T2" s="2" t="s">
        <v>20</v>
      </c>
      <c r="U2" s="2" t="s">
        <v>21</v>
      </c>
      <c r="V2" s="2" t="s">
        <v>22</v>
      </c>
      <c r="W2" s="2" t="s">
        <v>23</v>
      </c>
      <c r="X2" s="2" t="s">
        <v>24</v>
      </c>
      <c r="Y2" s="2" t="s">
        <v>25</v>
      </c>
      <c r="Z2" s="2" t="s">
        <v>26</v>
      </c>
      <c r="AA2" s="2" t="s">
        <v>27</v>
      </c>
      <c r="AB2" s="2" t="s">
        <v>28</v>
      </c>
      <c r="AC2" s="2" t="s">
        <v>29</v>
      </c>
    </row>
    <row r="3" spans="1:32" ht="74.150000000000006" customHeight="1" x14ac:dyDescent="0.35">
      <c r="A3" s="99" t="s">
        <v>30</v>
      </c>
      <c r="B3" s="100" t="s">
        <v>31</v>
      </c>
      <c r="C3" s="103" t="s">
        <v>32</v>
      </c>
      <c r="D3" s="104" t="s">
        <v>243</v>
      </c>
      <c r="E3" s="5">
        <v>1</v>
      </c>
      <c r="F3" s="6" t="s">
        <v>33</v>
      </c>
      <c r="G3" s="7">
        <v>1</v>
      </c>
      <c r="H3" s="8" t="s">
        <v>34</v>
      </c>
      <c r="I3" s="9">
        <f>(SUM(I4:I42)/37)*100%</f>
        <v>0.69601835945271362</v>
      </c>
      <c r="J3" s="107">
        <f>IFERROR(AVERAGE(I3:I7), )</f>
        <v>0.72641121767808847</v>
      </c>
      <c r="K3" s="10"/>
      <c r="L3" s="8" t="s">
        <v>35</v>
      </c>
      <c r="M3" s="9">
        <f>(SUM(M4:M42)/39)*100%</f>
        <v>0.79889610071923578</v>
      </c>
      <c r="N3" s="107">
        <f>IFERROR(AVERAGE(M3:M7), )</f>
        <v>0.83321365237827938</v>
      </c>
      <c r="O3" s="10"/>
      <c r="P3" s="11" t="s">
        <v>36</v>
      </c>
      <c r="Q3" s="12">
        <f>(SUM(Q4:Q42)/39)*100%</f>
        <v>0.87643971550519606</v>
      </c>
      <c r="R3" s="107">
        <f>IFERROR(AVERAGE(Q3:Q7), )</f>
        <v>0.97641478192887798</v>
      </c>
      <c r="S3" s="10"/>
      <c r="T3" s="96" t="s">
        <v>318</v>
      </c>
      <c r="U3" s="98">
        <f>(SUM(U4:U42)/39)*100%</f>
        <v>0.95175458414568259</v>
      </c>
      <c r="V3" s="123">
        <f>IFERROR(AVERAGE(U3:U7), )</f>
        <v>0.98155970803792769</v>
      </c>
      <c r="W3" s="91"/>
      <c r="X3" s="13" t="s">
        <v>37</v>
      </c>
      <c r="Y3" s="14" t="s">
        <v>38</v>
      </c>
      <c r="Z3" s="13" t="s">
        <v>39</v>
      </c>
      <c r="AA3" s="15" t="s">
        <v>40</v>
      </c>
      <c r="AB3" s="13" t="s">
        <v>41</v>
      </c>
      <c r="AC3" s="13" t="s">
        <v>42</v>
      </c>
    </row>
    <row r="4" spans="1:32" ht="84" customHeight="1" x14ac:dyDescent="0.35">
      <c r="A4" s="99"/>
      <c r="B4" s="101"/>
      <c r="C4" s="103"/>
      <c r="D4" s="105"/>
      <c r="E4" s="5">
        <v>2</v>
      </c>
      <c r="F4" s="6" t="s">
        <v>43</v>
      </c>
      <c r="G4" s="7">
        <v>1</v>
      </c>
      <c r="H4" s="16" t="s">
        <v>44</v>
      </c>
      <c r="I4" s="16">
        <f>(34%*(7/20))+(33%*(2/20))+(21.3%*(4/20))+(25%*(5/20))+(12%*(2/20))</f>
        <v>0.26910000000000001</v>
      </c>
      <c r="J4" s="108"/>
      <c r="K4" s="10"/>
      <c r="L4" s="16" t="s">
        <v>45</v>
      </c>
      <c r="M4" s="16">
        <f>(67.4%*(7/20))+(100%*(2/20))+(71.3%*(4/20))+(56.6%*(5/20))+(74%*(2/20))</f>
        <v>0.69399999999999995</v>
      </c>
      <c r="N4" s="108"/>
      <c r="O4" s="10"/>
      <c r="P4" s="16" t="s">
        <v>46</v>
      </c>
      <c r="Q4" s="16">
        <f>(93.57%*(7/20))+(100%*(2/20))+(82.5%*(4/20))+(88.2%*(5/20))+(86.5%*(2/20))</f>
        <v>0.89949500000000004</v>
      </c>
      <c r="R4" s="108"/>
      <c r="S4" s="10"/>
      <c r="T4" s="90" t="s">
        <v>305</v>
      </c>
      <c r="U4" s="90">
        <f>(100%*(7/20))+(100%*(2/20))+(100%*(4/20))+(100%*(5/20))+(100%*(2/20))</f>
        <v>0.99999999999999989</v>
      </c>
      <c r="V4" s="124"/>
      <c r="W4" s="91"/>
      <c r="X4" s="13" t="s">
        <v>37</v>
      </c>
      <c r="Y4" s="14">
        <v>1</v>
      </c>
      <c r="Z4" s="13" t="s">
        <v>39</v>
      </c>
      <c r="AA4" s="15" t="s">
        <v>47</v>
      </c>
      <c r="AB4" s="13" t="s">
        <v>48</v>
      </c>
      <c r="AC4" s="13" t="s">
        <v>42</v>
      </c>
    </row>
    <row r="5" spans="1:32" ht="50.5" customHeight="1" x14ac:dyDescent="0.35">
      <c r="A5" s="99" t="s">
        <v>49</v>
      </c>
      <c r="B5" s="101"/>
      <c r="C5" s="103"/>
      <c r="D5" s="105"/>
      <c r="E5" s="5">
        <v>3</v>
      </c>
      <c r="F5" s="17" t="s">
        <v>50</v>
      </c>
      <c r="G5" s="7">
        <v>1</v>
      </c>
      <c r="H5" s="16" t="s">
        <v>51</v>
      </c>
      <c r="I5" s="16">
        <f>(12/21)*100%</f>
        <v>0.5714285714285714</v>
      </c>
      <c r="J5" s="108"/>
      <c r="K5" s="10"/>
      <c r="L5" s="16" t="s">
        <v>51</v>
      </c>
      <c r="M5" s="16">
        <f>(12/21)*100%</f>
        <v>0.5714285714285714</v>
      </c>
      <c r="N5" s="108"/>
      <c r="O5" s="10"/>
      <c r="P5" s="16" t="s">
        <v>51</v>
      </c>
      <c r="Q5" s="16">
        <f>(12/21)*100%</f>
        <v>0.5714285714285714</v>
      </c>
      <c r="R5" s="108"/>
      <c r="S5" s="10"/>
      <c r="T5" s="90" t="s">
        <v>306</v>
      </c>
      <c r="U5" s="90">
        <f>(21/21)*100%</f>
        <v>1</v>
      </c>
      <c r="V5" s="124"/>
      <c r="W5" s="91"/>
      <c r="X5" s="13" t="s">
        <v>37</v>
      </c>
      <c r="Y5" s="14" t="s">
        <v>38</v>
      </c>
      <c r="Z5" s="13" t="s">
        <v>39</v>
      </c>
      <c r="AA5" s="15" t="s">
        <v>52</v>
      </c>
      <c r="AB5" s="13" t="s">
        <v>41</v>
      </c>
      <c r="AC5" s="13" t="s">
        <v>53</v>
      </c>
    </row>
    <row r="6" spans="1:32" ht="57" customHeight="1" x14ac:dyDescent="0.35">
      <c r="A6" s="99"/>
      <c r="B6" s="101"/>
      <c r="C6" s="103"/>
      <c r="D6" s="106"/>
      <c r="E6" s="5">
        <v>4</v>
      </c>
      <c r="F6" s="17" t="s">
        <v>54</v>
      </c>
      <c r="G6" s="7">
        <v>1</v>
      </c>
      <c r="H6" s="16" t="s">
        <v>55</v>
      </c>
      <c r="I6" s="16">
        <f>(75/91)*100%</f>
        <v>0.82417582417582413</v>
      </c>
      <c r="J6" s="108"/>
      <c r="K6" s="10"/>
      <c r="L6" s="16" t="s">
        <v>56</v>
      </c>
      <c r="M6" s="16">
        <f>(84/91)*100%</f>
        <v>0.92307692307692313</v>
      </c>
      <c r="N6" s="108"/>
      <c r="O6" s="10"/>
      <c r="P6" s="18" t="s">
        <v>57</v>
      </c>
      <c r="Q6" s="18">
        <f>(87/91)*100%</f>
        <v>0.95604395604395609</v>
      </c>
      <c r="R6" s="108"/>
      <c r="S6" s="10"/>
      <c r="T6" s="93" t="s">
        <v>57</v>
      </c>
      <c r="U6" s="93">
        <f>(87/91)*100%</f>
        <v>0.95604395604395609</v>
      </c>
      <c r="V6" s="124"/>
      <c r="W6" s="91"/>
      <c r="X6" s="13" t="s">
        <v>37</v>
      </c>
      <c r="Y6" s="14" t="s">
        <v>38</v>
      </c>
      <c r="Z6" s="13" t="s">
        <v>58</v>
      </c>
      <c r="AA6" s="15" t="s">
        <v>59</v>
      </c>
      <c r="AB6" s="13" t="s">
        <v>41</v>
      </c>
      <c r="AC6" s="13" t="s">
        <v>42</v>
      </c>
    </row>
    <row r="7" spans="1:32" ht="107.15" customHeight="1" x14ac:dyDescent="0.35">
      <c r="A7" s="99"/>
      <c r="B7" s="101"/>
      <c r="C7" s="103"/>
      <c r="D7" s="19" t="s">
        <v>311</v>
      </c>
      <c r="E7" s="5">
        <v>5</v>
      </c>
      <c r="F7" s="17" t="s">
        <v>60</v>
      </c>
      <c r="G7" s="7" t="s">
        <v>61</v>
      </c>
      <c r="H7" s="16" t="s">
        <v>62</v>
      </c>
      <c r="I7" s="9">
        <f>((6.89%+5.59%+6.59%)/15%)*100%</f>
        <v>1.2713333333333332</v>
      </c>
      <c r="J7" s="109"/>
      <c r="K7" s="10"/>
      <c r="L7" s="16" t="s">
        <v>63</v>
      </c>
      <c r="M7" s="16">
        <f>((4.6%+6.39%+6.69%)/15%)*100%</f>
        <v>1.1786666666666668</v>
      </c>
      <c r="N7" s="109"/>
      <c r="O7" s="10"/>
      <c r="P7" s="20" t="s">
        <v>64</v>
      </c>
      <c r="Q7" s="20">
        <f>((11.04%+2.69%+9.95%)/15%)*100%</f>
        <v>1.5786666666666669</v>
      </c>
      <c r="R7" s="109"/>
      <c r="S7" s="10"/>
      <c r="T7" s="97" t="s">
        <v>319</v>
      </c>
      <c r="U7" s="97">
        <v>1</v>
      </c>
      <c r="V7" s="125"/>
      <c r="W7" s="91"/>
      <c r="X7" s="13" t="s">
        <v>37</v>
      </c>
      <c r="Y7" s="14" t="s">
        <v>38</v>
      </c>
      <c r="Z7" s="13" t="s">
        <v>58</v>
      </c>
      <c r="AA7" s="15" t="s">
        <v>65</v>
      </c>
      <c r="AB7" s="13" t="s">
        <v>48</v>
      </c>
      <c r="AC7" s="13" t="s">
        <v>42</v>
      </c>
    </row>
    <row r="8" spans="1:32" ht="92.5" customHeight="1" x14ac:dyDescent="0.35">
      <c r="A8" s="99"/>
      <c r="B8" s="101"/>
      <c r="C8" s="103" t="s">
        <v>66</v>
      </c>
      <c r="D8" s="117" t="s">
        <v>307</v>
      </c>
      <c r="E8" s="5">
        <v>6</v>
      </c>
      <c r="F8" s="17" t="s">
        <v>67</v>
      </c>
      <c r="G8" s="21">
        <v>1</v>
      </c>
      <c r="H8" s="16" t="s">
        <v>68</v>
      </c>
      <c r="I8" s="16">
        <f>(1067/1068)*100%</f>
        <v>0.99906367041198507</v>
      </c>
      <c r="J8" s="118">
        <f>IFERROR(AVERAGE(I8:I10), )</f>
        <v>0.98718789013732833</v>
      </c>
      <c r="K8" s="10"/>
      <c r="L8" s="16" t="s">
        <v>69</v>
      </c>
      <c r="M8" s="16">
        <f>(1192/1194)*100%</f>
        <v>0.99832495812395305</v>
      </c>
      <c r="N8" s="118">
        <f>IFERROR(AVERAGE(M8:M10), )</f>
        <v>0.94989210315843486</v>
      </c>
      <c r="O8" s="10"/>
      <c r="P8" s="22" t="s">
        <v>70</v>
      </c>
      <c r="Q8" s="22">
        <f>(617/619)*100%</f>
        <v>0.99676898222940225</v>
      </c>
      <c r="R8" s="118">
        <f>IFERROR(AVERAGE(Q8:Q10), )</f>
        <v>0.98329799407646734</v>
      </c>
      <c r="S8" s="10"/>
      <c r="T8" s="91" t="s">
        <v>299</v>
      </c>
      <c r="U8" s="94">
        <f>+(295/295)*100%</f>
        <v>1</v>
      </c>
      <c r="V8" s="126">
        <f>IFERROR(AVERAGE(U8:U10), )</f>
        <v>0.98765432098765427</v>
      </c>
      <c r="W8" s="91" t="s">
        <v>302</v>
      </c>
      <c r="X8" s="13" t="s">
        <v>37</v>
      </c>
      <c r="Y8" s="14" t="s">
        <v>38</v>
      </c>
      <c r="Z8" s="13" t="s">
        <v>58</v>
      </c>
      <c r="AA8" s="24" t="s">
        <v>71</v>
      </c>
      <c r="AB8" s="13" t="s">
        <v>41</v>
      </c>
      <c r="AC8" s="13" t="s">
        <v>42</v>
      </c>
    </row>
    <row r="9" spans="1:32" ht="88" customHeight="1" x14ac:dyDescent="0.35">
      <c r="A9" s="99"/>
      <c r="B9" s="101"/>
      <c r="C9" s="103"/>
      <c r="D9" s="117"/>
      <c r="E9" s="5">
        <v>7</v>
      </c>
      <c r="F9" s="25" t="s">
        <v>72</v>
      </c>
      <c r="G9" s="26">
        <v>1</v>
      </c>
      <c r="H9" s="8" t="s">
        <v>73</v>
      </c>
      <c r="I9" s="9">
        <f>(40/40)*100%</f>
        <v>1</v>
      </c>
      <c r="J9" s="119"/>
      <c r="K9" s="27"/>
      <c r="L9" s="27" t="s">
        <v>74</v>
      </c>
      <c r="M9" s="20">
        <f>35.5/37*100%</f>
        <v>0.95945945945945943</v>
      </c>
      <c r="N9" s="119"/>
      <c r="O9" s="27"/>
      <c r="P9" s="27" t="s">
        <v>75</v>
      </c>
      <c r="Q9" s="28">
        <f>(32/32)*100%</f>
        <v>1</v>
      </c>
      <c r="R9" s="119"/>
      <c r="S9" s="27"/>
      <c r="T9" s="92" t="s">
        <v>300</v>
      </c>
      <c r="U9" s="96">
        <f>+(27/27)*100%</f>
        <v>1</v>
      </c>
      <c r="V9" s="127"/>
      <c r="W9" s="92" t="s">
        <v>303</v>
      </c>
      <c r="X9" s="29" t="s">
        <v>37</v>
      </c>
      <c r="Y9" s="29" t="s">
        <v>38</v>
      </c>
      <c r="Z9" s="29" t="s">
        <v>58</v>
      </c>
      <c r="AA9" s="30" t="s">
        <v>76</v>
      </c>
      <c r="AB9" s="29" t="s">
        <v>77</v>
      </c>
      <c r="AC9" s="29" t="s">
        <v>42</v>
      </c>
    </row>
    <row r="10" spans="1:32" ht="88" customHeight="1" x14ac:dyDescent="0.35">
      <c r="A10" s="99"/>
      <c r="B10" s="101"/>
      <c r="C10" s="103"/>
      <c r="D10" s="117"/>
      <c r="E10" s="5">
        <v>8</v>
      </c>
      <c r="F10" s="25" t="s">
        <v>78</v>
      </c>
      <c r="G10" s="26">
        <v>1</v>
      </c>
      <c r="H10" s="31" t="s">
        <v>79</v>
      </c>
      <c r="I10" s="16">
        <f>(77/80)*100%</f>
        <v>0.96250000000000002</v>
      </c>
      <c r="J10" s="120"/>
      <c r="K10" s="27"/>
      <c r="L10" s="27" t="s">
        <v>80</v>
      </c>
      <c r="M10" s="20">
        <f>(66/74)*100%</f>
        <v>0.89189189189189189</v>
      </c>
      <c r="N10" s="120"/>
      <c r="O10" s="27"/>
      <c r="P10" s="27" t="s">
        <v>81</v>
      </c>
      <c r="Q10" s="28">
        <f>(61/64)*100%</f>
        <v>0.953125</v>
      </c>
      <c r="R10" s="120"/>
      <c r="S10" s="27"/>
      <c r="T10" s="92" t="s">
        <v>301</v>
      </c>
      <c r="U10" s="96">
        <f>+(52/54)*100%</f>
        <v>0.96296296296296291</v>
      </c>
      <c r="V10" s="128"/>
      <c r="W10" s="92" t="s">
        <v>304</v>
      </c>
      <c r="X10" s="29" t="s">
        <v>37</v>
      </c>
      <c r="Y10" s="29" t="s">
        <v>38</v>
      </c>
      <c r="Z10" s="29" t="s">
        <v>58</v>
      </c>
      <c r="AA10" s="30" t="s">
        <v>76</v>
      </c>
      <c r="AB10" s="29" t="s">
        <v>77</v>
      </c>
      <c r="AC10" s="29" t="s">
        <v>42</v>
      </c>
    </row>
    <row r="11" spans="1:32" ht="105" customHeight="1" x14ac:dyDescent="0.35">
      <c r="A11" s="138" t="s">
        <v>82</v>
      </c>
      <c r="B11" s="101"/>
      <c r="C11" s="140" t="s">
        <v>83</v>
      </c>
      <c r="D11" s="104" t="s">
        <v>84</v>
      </c>
      <c r="E11" s="5">
        <v>9</v>
      </c>
      <c r="F11" s="17" t="s">
        <v>85</v>
      </c>
      <c r="G11" s="32">
        <v>3</v>
      </c>
      <c r="H11" s="10">
        <v>0.75</v>
      </c>
      <c r="I11" s="33">
        <f>H11/3</f>
        <v>0.25</v>
      </c>
      <c r="J11" s="121">
        <f>IFERROR(AVERAGE(I11:I12), )</f>
        <v>0.16857142857142857</v>
      </c>
      <c r="K11" s="34"/>
      <c r="L11" s="10">
        <f>0.75+0.75</f>
        <v>1.5</v>
      </c>
      <c r="M11" s="33">
        <f>L11/3</f>
        <v>0.5</v>
      </c>
      <c r="N11" s="121">
        <f>IFERROR(AVERAGE(M11:M12), )</f>
        <v>0.43928571428571428</v>
      </c>
      <c r="O11" s="34" t="s">
        <v>86</v>
      </c>
      <c r="P11" s="10">
        <f>+L11+0.75</f>
        <v>2.25</v>
      </c>
      <c r="Q11" s="35">
        <f>+P11/G11</f>
        <v>0.75</v>
      </c>
      <c r="R11" s="121">
        <f>IFERROR(AVERAGE(Q11:Q12), )</f>
        <v>0.65071428571428569</v>
      </c>
      <c r="S11" s="34" t="s">
        <v>87</v>
      </c>
      <c r="T11" s="23">
        <f>+P11+0.75</f>
        <v>3</v>
      </c>
      <c r="U11" s="80">
        <f>+T11/G11</f>
        <v>1</v>
      </c>
      <c r="V11" s="130">
        <f>IFERROR(AVERAGE(U11:U12), )</f>
        <v>1</v>
      </c>
      <c r="W11" s="81" t="s">
        <v>262</v>
      </c>
      <c r="X11" s="14" t="s">
        <v>37</v>
      </c>
      <c r="Y11" s="13">
        <v>12</v>
      </c>
      <c r="Z11" s="13" t="s">
        <v>39</v>
      </c>
      <c r="AA11" s="15" t="s">
        <v>88</v>
      </c>
      <c r="AB11" s="13" t="s">
        <v>48</v>
      </c>
      <c r="AC11" s="13" t="s">
        <v>42</v>
      </c>
    </row>
    <row r="12" spans="1:32" ht="116.15" customHeight="1" x14ac:dyDescent="0.35">
      <c r="A12" s="139"/>
      <c r="B12" s="102"/>
      <c r="C12" s="141"/>
      <c r="D12" s="106"/>
      <c r="E12" s="5">
        <v>10</v>
      </c>
      <c r="F12" s="17" t="s">
        <v>89</v>
      </c>
      <c r="G12" s="36" t="s">
        <v>90</v>
      </c>
      <c r="H12" s="37" t="s">
        <v>91</v>
      </c>
      <c r="I12" s="9">
        <f>(0.61/7) * 100%</f>
        <v>8.7142857142857147E-2</v>
      </c>
      <c r="J12" s="122"/>
      <c r="K12" s="10" t="s">
        <v>92</v>
      </c>
      <c r="L12" s="38" t="s">
        <v>93</v>
      </c>
      <c r="M12" s="9">
        <f>(2.65/7)*100%</f>
        <v>0.37857142857142856</v>
      </c>
      <c r="N12" s="122"/>
      <c r="O12" s="10" t="s">
        <v>92</v>
      </c>
      <c r="P12" s="10" t="s">
        <v>94</v>
      </c>
      <c r="Q12" s="9">
        <f>(3.86/7)*100%</f>
        <v>0.55142857142857138</v>
      </c>
      <c r="R12" s="122"/>
      <c r="S12" s="10" t="s">
        <v>95</v>
      </c>
      <c r="T12" s="23" t="s">
        <v>190</v>
      </c>
      <c r="U12" s="82">
        <f>(7/7)*100%</f>
        <v>1</v>
      </c>
      <c r="V12" s="131"/>
      <c r="W12" s="23" t="s">
        <v>263</v>
      </c>
      <c r="X12" s="14" t="s">
        <v>37</v>
      </c>
      <c r="Y12" s="13" t="s">
        <v>38</v>
      </c>
      <c r="Z12" s="13" t="s">
        <v>39</v>
      </c>
      <c r="AA12" s="15" t="s">
        <v>96</v>
      </c>
      <c r="AB12" s="13" t="s">
        <v>48</v>
      </c>
      <c r="AC12" s="13" t="s">
        <v>42</v>
      </c>
    </row>
    <row r="13" spans="1:32" ht="162.75" customHeight="1" x14ac:dyDescent="0.35">
      <c r="A13" s="129" t="s">
        <v>97</v>
      </c>
      <c r="B13" s="132" t="s">
        <v>98</v>
      </c>
      <c r="C13" s="133" t="s">
        <v>99</v>
      </c>
      <c r="D13" s="117" t="s">
        <v>84</v>
      </c>
      <c r="E13" s="5">
        <v>11</v>
      </c>
      <c r="F13" s="17" t="s">
        <v>100</v>
      </c>
      <c r="G13" s="39" t="s">
        <v>266</v>
      </c>
      <c r="H13" s="40">
        <v>50911.02</v>
      </c>
      <c r="I13" s="41">
        <f>50911.02/360000</f>
        <v>0.1414195</v>
      </c>
      <c r="J13" s="134">
        <f>IFERROR(AVERAGE(I13:I14), )</f>
        <v>0.1414195</v>
      </c>
      <c r="K13" s="34" t="s">
        <v>101</v>
      </c>
      <c r="L13" s="42">
        <f>319043.67-50911.02</f>
        <v>268132.64999999997</v>
      </c>
      <c r="M13" s="18">
        <f>(319043.67-50911.02)/360000</f>
        <v>0.7448129166666666</v>
      </c>
      <c r="N13" s="134">
        <f>IFERROR(AVERAGE(M13:M14), )</f>
        <v>0.75615645833333334</v>
      </c>
      <c r="O13" s="34" t="s">
        <v>102</v>
      </c>
      <c r="P13" s="42">
        <f>268132.65+178059.1</f>
        <v>446191.75</v>
      </c>
      <c r="Q13" s="18">
        <f>+P13/700000</f>
        <v>0.63741678571428573</v>
      </c>
      <c r="R13" s="134">
        <f>IFERROR(AVERAGE(Q13:Q14), )</f>
        <v>0.71369875894577484</v>
      </c>
      <c r="S13" s="34" t="s">
        <v>103</v>
      </c>
      <c r="T13" s="83">
        <f>+P13+288596.05</f>
        <v>734787.8</v>
      </c>
      <c r="U13" s="43">
        <f>+T13/734787.8</f>
        <v>1</v>
      </c>
      <c r="V13" s="136">
        <f>IFERROR(AVERAGE(U13:U14), )</f>
        <v>1</v>
      </c>
      <c r="W13" s="86" t="s">
        <v>264</v>
      </c>
      <c r="X13" s="14" t="s">
        <v>37</v>
      </c>
      <c r="Y13" s="13" t="s">
        <v>38</v>
      </c>
      <c r="Z13" s="13" t="s">
        <v>39</v>
      </c>
      <c r="AA13" s="24" t="s">
        <v>104</v>
      </c>
      <c r="AB13" s="13" t="s">
        <v>48</v>
      </c>
      <c r="AC13" s="13" t="s">
        <v>42</v>
      </c>
      <c r="AE13" s="1" t="s">
        <v>105</v>
      </c>
    </row>
    <row r="14" spans="1:32" ht="116.15" customHeight="1" x14ac:dyDescent="0.35">
      <c r="A14" s="129"/>
      <c r="B14" s="132"/>
      <c r="C14" s="133"/>
      <c r="D14" s="117"/>
      <c r="E14" s="5">
        <v>12</v>
      </c>
      <c r="F14" s="17" t="s">
        <v>106</v>
      </c>
      <c r="G14" s="39">
        <v>1038</v>
      </c>
      <c r="H14" s="18" t="s">
        <v>107</v>
      </c>
      <c r="I14" s="18" t="s">
        <v>38</v>
      </c>
      <c r="J14" s="135"/>
      <c r="K14" s="34"/>
      <c r="L14" s="42">
        <v>614</v>
      </c>
      <c r="M14" s="18">
        <f>+L14/800</f>
        <v>0.76749999999999996</v>
      </c>
      <c r="N14" s="135"/>
      <c r="O14" s="34" t="s">
        <v>108</v>
      </c>
      <c r="P14" s="44">
        <f>+L14+206</f>
        <v>820</v>
      </c>
      <c r="Q14" s="18">
        <f>+P14/G14</f>
        <v>0.78998073217726394</v>
      </c>
      <c r="R14" s="135"/>
      <c r="S14" s="34" t="s">
        <v>109</v>
      </c>
      <c r="T14" s="84">
        <f>+P14+218</f>
        <v>1038</v>
      </c>
      <c r="U14" s="85">
        <f>+T14/G14</f>
        <v>1</v>
      </c>
      <c r="V14" s="137"/>
      <c r="W14" s="81" t="s">
        <v>265</v>
      </c>
      <c r="X14" s="14" t="s">
        <v>37</v>
      </c>
      <c r="Y14" s="13" t="s">
        <v>38</v>
      </c>
      <c r="Z14" s="13" t="s">
        <v>39</v>
      </c>
      <c r="AA14" s="24" t="s">
        <v>110</v>
      </c>
      <c r="AB14" s="13" t="s">
        <v>48</v>
      </c>
      <c r="AC14" s="13" t="s">
        <v>111</v>
      </c>
      <c r="AE14" s="1" t="s">
        <v>112</v>
      </c>
    </row>
    <row r="15" spans="1:32" ht="112" customHeight="1" x14ac:dyDescent="0.35">
      <c r="A15" s="45" t="s">
        <v>113</v>
      </c>
      <c r="B15" s="132"/>
      <c r="C15" s="133" t="s">
        <v>114</v>
      </c>
      <c r="D15" s="117" t="s">
        <v>308</v>
      </c>
      <c r="E15" s="5">
        <v>13</v>
      </c>
      <c r="F15" s="17" t="s">
        <v>115</v>
      </c>
      <c r="G15" s="7">
        <v>1</v>
      </c>
      <c r="H15" s="16" t="s">
        <v>116</v>
      </c>
      <c r="I15" s="16">
        <f>(11/79)*100%</f>
        <v>0.13924050632911392</v>
      </c>
      <c r="J15" s="118">
        <f>IFERROR(AVERAGE(I15:I21), )</f>
        <v>0.73417721518987344</v>
      </c>
      <c r="K15" s="10"/>
      <c r="L15" s="16" t="s">
        <v>117</v>
      </c>
      <c r="M15" s="16">
        <f>(13/79)*100%</f>
        <v>0.16455696202531644</v>
      </c>
      <c r="N15" s="118">
        <f>IFERROR(AVERAGE(M15:M21), )</f>
        <v>0.72406024233211908</v>
      </c>
      <c r="O15" s="10"/>
      <c r="P15" s="16" t="s">
        <v>118</v>
      </c>
      <c r="Q15" s="9">
        <f>(40/132)*100%</f>
        <v>0.30303030303030304</v>
      </c>
      <c r="R15" s="118">
        <f>IFERROR(AVERAGE(Q15:Q21), )</f>
        <v>0.77635036354358855</v>
      </c>
      <c r="S15" s="10"/>
      <c r="T15" s="90" t="s">
        <v>280</v>
      </c>
      <c r="U15" s="90">
        <f>(87/132)*100%</f>
        <v>0.65909090909090906</v>
      </c>
      <c r="V15" s="126">
        <f>IFERROR(AVERAGE(U15:U21), )</f>
        <v>0.88763181818181813</v>
      </c>
      <c r="W15" s="91" t="s">
        <v>288</v>
      </c>
      <c r="X15" s="14" t="s">
        <v>37</v>
      </c>
      <c r="Y15" s="14" t="s">
        <v>38</v>
      </c>
      <c r="Z15" s="13" t="s">
        <v>39</v>
      </c>
      <c r="AA15" s="15" t="s">
        <v>119</v>
      </c>
      <c r="AB15" s="13" t="s">
        <v>48</v>
      </c>
      <c r="AC15" s="13" t="s">
        <v>42</v>
      </c>
    </row>
    <row r="16" spans="1:32" ht="61" customHeight="1" x14ac:dyDescent="0.35">
      <c r="A16" s="129"/>
      <c r="B16" s="132"/>
      <c r="C16" s="133"/>
      <c r="D16" s="117"/>
      <c r="E16" s="5">
        <v>14</v>
      </c>
      <c r="F16" s="17" t="s">
        <v>120</v>
      </c>
      <c r="G16" s="7">
        <v>1</v>
      </c>
      <c r="H16" s="16" t="s">
        <v>121</v>
      </c>
      <c r="I16" s="16">
        <f>(0/4)*100%</f>
        <v>0</v>
      </c>
      <c r="J16" s="119"/>
      <c r="K16" s="10"/>
      <c r="L16" s="16" t="s">
        <v>122</v>
      </c>
      <c r="M16" s="16">
        <f>(2/4)*100%</f>
        <v>0.5</v>
      </c>
      <c r="N16" s="119"/>
      <c r="O16" s="10"/>
      <c r="P16" s="16" t="s">
        <v>123</v>
      </c>
      <c r="Q16" s="16">
        <f>(3/4)*100%</f>
        <v>0.75</v>
      </c>
      <c r="R16" s="119"/>
      <c r="S16" s="10"/>
      <c r="T16" s="90" t="s">
        <v>162</v>
      </c>
      <c r="U16" s="90">
        <v>1</v>
      </c>
      <c r="V16" s="127"/>
      <c r="W16" s="91"/>
      <c r="X16" s="14" t="s">
        <v>37</v>
      </c>
      <c r="Y16" s="14" t="s">
        <v>38</v>
      </c>
      <c r="Z16" s="13" t="s">
        <v>39</v>
      </c>
      <c r="AA16" s="15" t="s">
        <v>124</v>
      </c>
      <c r="AB16" s="13" t="s">
        <v>48</v>
      </c>
      <c r="AC16" s="13" t="s">
        <v>42</v>
      </c>
      <c r="AE16" s="1" t="s">
        <v>125</v>
      </c>
      <c r="AF16" s="1" t="s">
        <v>126</v>
      </c>
    </row>
    <row r="17" spans="1:32" ht="50.5" customHeight="1" x14ac:dyDescent="0.35">
      <c r="A17" s="129"/>
      <c r="B17" s="132"/>
      <c r="C17" s="133"/>
      <c r="D17" s="117"/>
      <c r="E17" s="5">
        <v>15</v>
      </c>
      <c r="F17" s="17" t="s">
        <v>127</v>
      </c>
      <c r="G17" s="7">
        <v>1</v>
      </c>
      <c r="H17" s="16" t="s">
        <v>128</v>
      </c>
      <c r="I17" s="16">
        <f>(0.1/0.1)*100%</f>
        <v>1</v>
      </c>
      <c r="J17" s="119"/>
      <c r="K17" s="10" t="s">
        <v>129</v>
      </c>
      <c r="L17" s="16" t="s">
        <v>130</v>
      </c>
      <c r="M17" s="16">
        <f>+(0.1/0.1)</f>
        <v>1</v>
      </c>
      <c r="N17" s="119"/>
      <c r="O17" s="10" t="s">
        <v>129</v>
      </c>
      <c r="P17" s="16" t="s">
        <v>131</v>
      </c>
      <c r="Q17" s="16">
        <f>(1/1)*100%</f>
        <v>1</v>
      </c>
      <c r="R17" s="119"/>
      <c r="S17" s="10" t="s">
        <v>129</v>
      </c>
      <c r="T17" s="90" t="s">
        <v>281</v>
      </c>
      <c r="U17" s="90">
        <v>1</v>
      </c>
      <c r="V17" s="127"/>
      <c r="W17" s="91" t="s">
        <v>129</v>
      </c>
      <c r="X17" s="14" t="s">
        <v>37</v>
      </c>
      <c r="Y17" s="14" t="s">
        <v>38</v>
      </c>
      <c r="Z17" s="13" t="s">
        <v>58</v>
      </c>
      <c r="AA17" s="15" t="s">
        <v>132</v>
      </c>
      <c r="AB17" s="13" t="s">
        <v>48</v>
      </c>
      <c r="AC17" s="13" t="s">
        <v>42</v>
      </c>
      <c r="AE17" s="1" t="s">
        <v>125</v>
      </c>
      <c r="AF17" s="1" t="s">
        <v>126</v>
      </c>
    </row>
    <row r="18" spans="1:32" ht="96.75" customHeight="1" x14ac:dyDescent="0.35">
      <c r="A18" s="129"/>
      <c r="B18" s="132"/>
      <c r="C18" s="133"/>
      <c r="D18" s="117"/>
      <c r="E18" s="5">
        <v>16</v>
      </c>
      <c r="F18" s="17" t="s">
        <v>133</v>
      </c>
      <c r="G18" s="7">
        <v>1</v>
      </c>
      <c r="H18" s="16" t="s">
        <v>128</v>
      </c>
      <c r="I18" s="16">
        <f>(0.1/0.1)*100%</f>
        <v>1</v>
      </c>
      <c r="J18" s="119"/>
      <c r="K18" s="10" t="s">
        <v>129</v>
      </c>
      <c r="L18" s="16" t="s">
        <v>134</v>
      </c>
      <c r="M18" s="9">
        <f>(38/46)*100%</f>
        <v>0.82608695652173914</v>
      </c>
      <c r="N18" s="119"/>
      <c r="O18" s="10" t="s">
        <v>129</v>
      </c>
      <c r="P18" s="16" t="s">
        <v>135</v>
      </c>
      <c r="Q18" s="16">
        <f>(94/121)*100%</f>
        <v>0.77685950413223137</v>
      </c>
      <c r="R18" s="119"/>
      <c r="S18" s="10" t="s">
        <v>136</v>
      </c>
      <c r="T18" s="90" t="s">
        <v>282</v>
      </c>
      <c r="U18" s="90">
        <v>1</v>
      </c>
      <c r="V18" s="127"/>
      <c r="W18" s="91" t="s">
        <v>129</v>
      </c>
      <c r="X18" s="14" t="s">
        <v>37</v>
      </c>
      <c r="Y18" s="14" t="s">
        <v>38</v>
      </c>
      <c r="Z18" s="13" t="s">
        <v>58</v>
      </c>
      <c r="AA18" s="15" t="s">
        <v>137</v>
      </c>
      <c r="AB18" s="13" t="s">
        <v>48</v>
      </c>
      <c r="AC18" s="13" t="s">
        <v>42</v>
      </c>
      <c r="AE18" s="1" t="s">
        <v>125</v>
      </c>
      <c r="AF18" s="1" t="s">
        <v>126</v>
      </c>
    </row>
    <row r="19" spans="1:32" ht="50.5" customHeight="1" x14ac:dyDescent="0.35">
      <c r="A19" s="129"/>
      <c r="B19" s="132"/>
      <c r="C19" s="133"/>
      <c r="D19" s="117"/>
      <c r="E19" s="5">
        <v>17</v>
      </c>
      <c r="F19" s="17" t="s">
        <v>138</v>
      </c>
      <c r="G19" s="7">
        <v>1</v>
      </c>
      <c r="H19" s="16" t="s">
        <v>139</v>
      </c>
      <c r="I19" s="16">
        <f>(1/1)*100%</f>
        <v>1</v>
      </c>
      <c r="J19" s="119"/>
      <c r="K19" s="10" t="s">
        <v>129</v>
      </c>
      <c r="L19" s="16" t="s">
        <v>139</v>
      </c>
      <c r="M19" s="16">
        <f>(1/1)*100%</f>
        <v>1</v>
      </c>
      <c r="N19" s="119"/>
      <c r="O19" s="10" t="s">
        <v>129</v>
      </c>
      <c r="P19" s="16" t="s">
        <v>139</v>
      </c>
      <c r="Q19" s="16">
        <f>(1/1)*100%</f>
        <v>1</v>
      </c>
      <c r="R19" s="119"/>
      <c r="S19" s="10" t="s">
        <v>129</v>
      </c>
      <c r="T19" s="90" t="s">
        <v>139</v>
      </c>
      <c r="U19" s="90">
        <v>1</v>
      </c>
      <c r="V19" s="127"/>
      <c r="W19" s="91" t="s">
        <v>129</v>
      </c>
      <c r="X19" s="14" t="s">
        <v>37</v>
      </c>
      <c r="Y19" s="14" t="s">
        <v>38</v>
      </c>
      <c r="Z19" s="13" t="s">
        <v>58</v>
      </c>
      <c r="AA19" s="15" t="s">
        <v>140</v>
      </c>
      <c r="AB19" s="13" t="s">
        <v>48</v>
      </c>
      <c r="AC19" s="13" t="s">
        <v>42</v>
      </c>
      <c r="AE19" s="1" t="s">
        <v>125</v>
      </c>
      <c r="AF19" s="1" t="s">
        <v>126</v>
      </c>
    </row>
    <row r="20" spans="1:32" ht="50.5" customHeight="1" x14ac:dyDescent="0.35">
      <c r="A20" s="129"/>
      <c r="B20" s="132"/>
      <c r="C20" s="133"/>
      <c r="D20" s="117"/>
      <c r="E20" s="5">
        <v>18</v>
      </c>
      <c r="F20" s="17" t="s">
        <v>141</v>
      </c>
      <c r="G20" s="7">
        <v>1</v>
      </c>
      <c r="H20" s="16" t="s">
        <v>128</v>
      </c>
      <c r="I20" s="16">
        <f t="shared" ref="I20:I21" si="0">(0.1/0.1)*100%</f>
        <v>1</v>
      </c>
      <c r="J20" s="119"/>
      <c r="K20" s="10" t="s">
        <v>129</v>
      </c>
      <c r="L20" s="16" t="s">
        <v>128</v>
      </c>
      <c r="M20" s="16">
        <f t="shared" ref="M20" si="1">(0.1/0.1)*100%</f>
        <v>1</v>
      </c>
      <c r="N20" s="119"/>
      <c r="O20" s="10" t="s">
        <v>129</v>
      </c>
      <c r="P20" s="16" t="s">
        <v>128</v>
      </c>
      <c r="Q20" s="16">
        <f>+(1)*100%</f>
        <v>1</v>
      </c>
      <c r="R20" s="119"/>
      <c r="S20" s="10" t="s">
        <v>129</v>
      </c>
      <c r="T20" s="90" t="s">
        <v>283</v>
      </c>
      <c r="U20" s="90">
        <v>0.66669999999999996</v>
      </c>
      <c r="V20" s="127"/>
      <c r="W20" s="91" t="s">
        <v>129</v>
      </c>
      <c r="X20" s="14" t="s">
        <v>37</v>
      </c>
      <c r="Y20" s="14" t="s">
        <v>38</v>
      </c>
      <c r="Z20" s="13" t="s">
        <v>58</v>
      </c>
      <c r="AA20" s="15" t="s">
        <v>142</v>
      </c>
      <c r="AB20" s="13" t="s">
        <v>77</v>
      </c>
      <c r="AC20" s="13" t="s">
        <v>42</v>
      </c>
      <c r="AE20" s="1" t="s">
        <v>125</v>
      </c>
      <c r="AF20" s="1" t="s">
        <v>126</v>
      </c>
    </row>
    <row r="21" spans="1:32" ht="91" customHeight="1" x14ac:dyDescent="0.35">
      <c r="A21" s="129"/>
      <c r="B21" s="132"/>
      <c r="C21" s="133"/>
      <c r="D21" s="117"/>
      <c r="E21" s="5">
        <v>19</v>
      </c>
      <c r="F21" s="17" t="s">
        <v>143</v>
      </c>
      <c r="G21" s="21">
        <v>1</v>
      </c>
      <c r="H21" s="16" t="s">
        <v>144</v>
      </c>
      <c r="I21" s="16">
        <f t="shared" si="0"/>
        <v>1</v>
      </c>
      <c r="J21" s="120"/>
      <c r="K21" s="10"/>
      <c r="L21" s="16" t="s">
        <v>145</v>
      </c>
      <c r="M21" s="16">
        <f>(130/225)*100%</f>
        <v>0.57777777777777772</v>
      </c>
      <c r="N21" s="120"/>
      <c r="O21" s="10"/>
      <c r="P21" s="16" t="s">
        <v>146</v>
      </c>
      <c r="Q21" s="16">
        <f>(318/526)*100%</f>
        <v>0.6045627376425855</v>
      </c>
      <c r="R21" s="120"/>
      <c r="S21" s="10"/>
      <c r="T21" s="90" t="s">
        <v>284</v>
      </c>
      <c r="U21" s="90" t="s">
        <v>285</v>
      </c>
      <c r="V21" s="128"/>
      <c r="W21" s="91" t="s">
        <v>289</v>
      </c>
      <c r="X21" s="14" t="s">
        <v>37</v>
      </c>
      <c r="Y21" s="14" t="s">
        <v>38</v>
      </c>
      <c r="Z21" s="13" t="s">
        <v>58</v>
      </c>
      <c r="AA21" s="15" t="s">
        <v>147</v>
      </c>
      <c r="AB21" s="13" t="s">
        <v>48</v>
      </c>
      <c r="AC21" s="13" t="s">
        <v>42</v>
      </c>
      <c r="AE21" s="1" t="s">
        <v>125</v>
      </c>
      <c r="AF21" s="1" t="s">
        <v>126</v>
      </c>
    </row>
    <row r="22" spans="1:32" ht="82.5" customHeight="1" x14ac:dyDescent="0.35">
      <c r="A22" s="129" t="s">
        <v>97</v>
      </c>
      <c r="B22" s="132"/>
      <c r="C22" s="133" t="s">
        <v>148</v>
      </c>
      <c r="D22" s="117" t="s">
        <v>308</v>
      </c>
      <c r="E22" s="5">
        <v>20</v>
      </c>
      <c r="F22" s="17" t="s">
        <v>149</v>
      </c>
      <c r="G22" s="7">
        <v>1</v>
      </c>
      <c r="H22" s="16" t="s">
        <v>150</v>
      </c>
      <c r="I22" s="16">
        <f>(197/1120)*100%</f>
        <v>0.17589285714285716</v>
      </c>
      <c r="J22" s="118">
        <f>IFERROR(AVERAGE(I22:I23), )</f>
        <v>0.25279227857142855</v>
      </c>
      <c r="K22" s="10"/>
      <c r="L22" s="16" t="s">
        <v>151</v>
      </c>
      <c r="M22" s="16">
        <f>(490/1120)*100%</f>
        <v>0.4375</v>
      </c>
      <c r="N22" s="118">
        <f>IFERROR(AVERAGE(M22:M23), )</f>
        <v>0.60822754285714287</v>
      </c>
      <c r="O22" s="10"/>
      <c r="P22" s="16" t="s">
        <v>152</v>
      </c>
      <c r="Q22" s="16">
        <f>(839/1120)*100%</f>
        <v>0.74910714285714286</v>
      </c>
      <c r="R22" s="118">
        <f>IFERROR(AVERAGE(Q22:Q23), )</f>
        <v>0.87481446675815899</v>
      </c>
      <c r="S22" s="10"/>
      <c r="T22" s="90" t="s">
        <v>286</v>
      </c>
      <c r="U22" s="90">
        <v>1</v>
      </c>
      <c r="V22" s="126">
        <f>IFERROR(AVERAGE(U22:U23), )</f>
        <v>1</v>
      </c>
      <c r="W22" s="91"/>
      <c r="X22" s="14" t="s">
        <v>37</v>
      </c>
      <c r="Y22" s="14" t="s">
        <v>38</v>
      </c>
      <c r="Z22" s="13" t="s">
        <v>39</v>
      </c>
      <c r="AA22" s="15" t="s">
        <v>153</v>
      </c>
      <c r="AB22" s="13" t="s">
        <v>48</v>
      </c>
      <c r="AC22" s="13" t="s">
        <v>42</v>
      </c>
    </row>
    <row r="23" spans="1:32" ht="76.5" customHeight="1" x14ac:dyDescent="0.35">
      <c r="A23" s="129"/>
      <c r="B23" s="132"/>
      <c r="C23" s="133"/>
      <c r="D23" s="117"/>
      <c r="E23" s="5">
        <v>21</v>
      </c>
      <c r="F23" s="17" t="s">
        <v>154</v>
      </c>
      <c r="G23" s="7">
        <v>1</v>
      </c>
      <c r="H23" s="16" t="s">
        <v>155</v>
      </c>
      <c r="I23" s="16">
        <f>(65938.34/200000)*100%</f>
        <v>0.32969169999999998</v>
      </c>
      <c r="J23" s="120"/>
      <c r="K23" s="10"/>
      <c r="L23" s="16" t="s">
        <v>156</v>
      </c>
      <c r="M23" s="16">
        <f>+(272634.28/350000)*100%</f>
        <v>0.77895508571428584</v>
      </c>
      <c r="N23" s="120"/>
      <c r="O23" s="10"/>
      <c r="P23" s="16" t="s">
        <v>157</v>
      </c>
      <c r="Q23" s="16">
        <f>(3191104.22/3189440)*100%</f>
        <v>1.0005217906591752</v>
      </c>
      <c r="R23" s="120"/>
      <c r="S23" s="10"/>
      <c r="T23" s="90" t="s">
        <v>287</v>
      </c>
      <c r="U23" s="90">
        <v>1</v>
      </c>
      <c r="V23" s="128"/>
      <c r="W23" s="91"/>
      <c r="X23" s="14" t="s">
        <v>37</v>
      </c>
      <c r="Y23" s="14" t="s">
        <v>38</v>
      </c>
      <c r="Z23" s="13" t="s">
        <v>39</v>
      </c>
      <c r="AA23" s="15" t="s">
        <v>158</v>
      </c>
      <c r="AB23" s="13" t="s">
        <v>48</v>
      </c>
      <c r="AC23" s="13" t="s">
        <v>42</v>
      </c>
    </row>
    <row r="24" spans="1:32" ht="72.75" customHeight="1" x14ac:dyDescent="0.35">
      <c r="A24" s="129" t="s">
        <v>30</v>
      </c>
      <c r="B24" s="145" t="s">
        <v>159</v>
      </c>
      <c r="C24" s="146" t="s">
        <v>160</v>
      </c>
      <c r="D24" s="117" t="s">
        <v>309</v>
      </c>
      <c r="E24" s="5">
        <v>22</v>
      </c>
      <c r="F24" s="17" t="s">
        <v>161</v>
      </c>
      <c r="G24" s="21">
        <v>0.9</v>
      </c>
      <c r="H24" s="33" t="s">
        <v>162</v>
      </c>
      <c r="I24" s="46">
        <f>(4/4)*100%</f>
        <v>1</v>
      </c>
      <c r="J24" s="121">
        <f>IFERROR(AVERAGE(I24:I27), )</f>
        <v>0.87145713423466931</v>
      </c>
      <c r="K24" s="10"/>
      <c r="L24" s="10" t="s">
        <v>162</v>
      </c>
      <c r="M24" s="9">
        <f>(4/4)*100%</f>
        <v>1</v>
      </c>
      <c r="N24" s="121">
        <f>IFERROR(AVERAGE(M24:M27), )</f>
        <v>0.8900056859205776</v>
      </c>
      <c r="O24" s="10"/>
      <c r="P24" s="16" t="s">
        <v>162</v>
      </c>
      <c r="Q24" s="16">
        <f>(4/4)*100%</f>
        <v>1</v>
      </c>
      <c r="R24" s="121">
        <f>IFERROR(AVERAGE(Q24:Q27), )</f>
        <v>0.87145713423466931</v>
      </c>
      <c r="S24" s="10"/>
      <c r="T24" s="91" t="s">
        <v>314</v>
      </c>
      <c r="U24" s="94">
        <f>(4/4)*100%</f>
        <v>1</v>
      </c>
      <c r="V24" s="130">
        <f>IFERROR(AVERAGE(U24:U27), )</f>
        <v>1</v>
      </c>
      <c r="W24" s="91"/>
      <c r="X24" s="14" t="s">
        <v>37</v>
      </c>
      <c r="Y24" s="14" t="s">
        <v>38</v>
      </c>
      <c r="Z24" s="13" t="s">
        <v>58</v>
      </c>
      <c r="AA24" s="15" t="s">
        <v>163</v>
      </c>
      <c r="AB24" s="13" t="s">
        <v>48</v>
      </c>
      <c r="AC24" s="13" t="s">
        <v>42</v>
      </c>
    </row>
    <row r="25" spans="1:32" ht="61.5" customHeight="1" x14ac:dyDescent="0.35">
      <c r="A25" s="129"/>
      <c r="B25" s="145"/>
      <c r="C25" s="146"/>
      <c r="D25" s="117"/>
      <c r="E25" s="5">
        <v>23</v>
      </c>
      <c r="F25" s="17" t="s">
        <v>164</v>
      </c>
      <c r="G25" s="21">
        <v>1</v>
      </c>
      <c r="H25" s="33" t="s">
        <v>165</v>
      </c>
      <c r="I25" s="46">
        <f>(0.4979/1)*100%</f>
        <v>0.49790000000000001</v>
      </c>
      <c r="J25" s="147"/>
      <c r="K25" s="10"/>
      <c r="L25" s="10" t="s">
        <v>166</v>
      </c>
      <c r="M25" s="9">
        <f>(0.6019/1)*100%</f>
        <v>0.60189999999999999</v>
      </c>
      <c r="N25" s="147"/>
      <c r="O25" s="10"/>
      <c r="P25" s="16" t="s">
        <v>165</v>
      </c>
      <c r="Q25" s="16">
        <f>(0.4979/1)*100%</f>
        <v>0.49790000000000001</v>
      </c>
      <c r="R25" s="147"/>
      <c r="S25" s="10"/>
      <c r="T25" s="91" t="s">
        <v>315</v>
      </c>
      <c r="U25" s="94">
        <f>(1/1)*100%</f>
        <v>1</v>
      </c>
      <c r="V25" s="148"/>
      <c r="W25" s="91"/>
      <c r="X25" s="14" t="s">
        <v>37</v>
      </c>
      <c r="Y25" s="14" t="s">
        <v>38</v>
      </c>
      <c r="Z25" s="13" t="s">
        <v>39</v>
      </c>
      <c r="AA25" s="15" t="s">
        <v>167</v>
      </c>
      <c r="AB25" s="13" t="s">
        <v>48</v>
      </c>
      <c r="AC25" s="13" t="s">
        <v>42</v>
      </c>
    </row>
    <row r="26" spans="1:32" ht="53.5" customHeight="1" x14ac:dyDescent="0.35">
      <c r="A26" s="129"/>
      <c r="B26" s="145"/>
      <c r="C26" s="146"/>
      <c r="D26" s="117"/>
      <c r="E26" s="5">
        <v>24</v>
      </c>
      <c r="F26" s="17" t="s">
        <v>168</v>
      </c>
      <c r="G26" s="21">
        <v>1</v>
      </c>
      <c r="H26" s="33" t="s">
        <v>169</v>
      </c>
      <c r="I26" s="46">
        <f>(2046/2071)*100%</f>
        <v>0.98792853693867699</v>
      </c>
      <c r="J26" s="147"/>
      <c r="K26" s="47"/>
      <c r="L26" s="10" t="s">
        <v>170</v>
      </c>
      <c r="M26" s="9">
        <f>( 1327/ 1385)*100%</f>
        <v>0.95812274368231043</v>
      </c>
      <c r="N26" s="147"/>
      <c r="O26" s="47"/>
      <c r="P26" s="16" t="s">
        <v>169</v>
      </c>
      <c r="Q26" s="16">
        <f>(2046/2071)*100%</f>
        <v>0.98792853693867699</v>
      </c>
      <c r="R26" s="147"/>
      <c r="S26" s="47"/>
      <c r="T26" s="91" t="s">
        <v>316</v>
      </c>
      <c r="U26" s="94">
        <f>(1828/1828)*100%</f>
        <v>1</v>
      </c>
      <c r="V26" s="148"/>
      <c r="W26" s="95"/>
      <c r="X26" s="14" t="s">
        <v>37</v>
      </c>
      <c r="Y26" s="14" t="s">
        <v>38</v>
      </c>
      <c r="Z26" s="13" t="s">
        <v>58</v>
      </c>
      <c r="AA26" s="15" t="s">
        <v>171</v>
      </c>
      <c r="AB26" s="13" t="s">
        <v>48</v>
      </c>
      <c r="AC26" s="13" t="s">
        <v>42</v>
      </c>
    </row>
    <row r="27" spans="1:32" ht="54.65" customHeight="1" x14ac:dyDescent="0.35">
      <c r="A27" s="129"/>
      <c r="B27" s="145"/>
      <c r="C27" s="146"/>
      <c r="D27" s="117"/>
      <c r="E27" s="5">
        <v>25</v>
      </c>
      <c r="F27" s="17" t="s">
        <v>172</v>
      </c>
      <c r="G27" s="21">
        <v>1</v>
      </c>
      <c r="H27" s="33" t="s">
        <v>173</v>
      </c>
      <c r="I27" s="46">
        <f>(300/300)*100%</f>
        <v>1</v>
      </c>
      <c r="J27" s="122"/>
      <c r="K27" s="10"/>
      <c r="L27" s="10" t="s">
        <v>174</v>
      </c>
      <c r="M27" s="9">
        <f>(444/444)*100%</f>
        <v>1</v>
      </c>
      <c r="N27" s="122"/>
      <c r="O27" s="10"/>
      <c r="P27" s="16" t="s">
        <v>173</v>
      </c>
      <c r="Q27" s="16">
        <f>(300/300)*100%</f>
        <v>1</v>
      </c>
      <c r="R27" s="122"/>
      <c r="S27" s="10"/>
      <c r="T27" s="91" t="s">
        <v>317</v>
      </c>
      <c r="U27" s="94">
        <f>(476/476)*100%</f>
        <v>1</v>
      </c>
      <c r="V27" s="131"/>
      <c r="W27" s="91"/>
      <c r="X27" s="14" t="s">
        <v>37</v>
      </c>
      <c r="Y27" s="14" t="s">
        <v>38</v>
      </c>
      <c r="Z27" s="13" t="s">
        <v>58</v>
      </c>
      <c r="AA27" s="15" t="s">
        <v>175</v>
      </c>
      <c r="AB27" s="13" t="s">
        <v>48</v>
      </c>
      <c r="AC27" s="13" t="s">
        <v>42</v>
      </c>
    </row>
    <row r="28" spans="1:32" ht="113.5" customHeight="1" x14ac:dyDescent="0.35">
      <c r="A28" s="129" t="s">
        <v>30</v>
      </c>
      <c r="B28" s="145"/>
      <c r="C28" s="146" t="s">
        <v>176</v>
      </c>
      <c r="D28" s="117" t="s">
        <v>310</v>
      </c>
      <c r="E28" s="5">
        <v>26</v>
      </c>
      <c r="F28" s="17" t="s">
        <v>177</v>
      </c>
      <c r="G28" s="21">
        <v>1</v>
      </c>
      <c r="H28" s="18" t="s">
        <v>162</v>
      </c>
      <c r="I28" s="18">
        <f>(3/3)*100%</f>
        <v>1</v>
      </c>
      <c r="J28" s="149">
        <f>IFERROR(AVERAGE(I28:I32), )</f>
        <v>0.82979351032448379</v>
      </c>
      <c r="K28" s="34"/>
      <c r="L28" s="18" t="s">
        <v>162</v>
      </c>
      <c r="M28" s="18">
        <f>(4/4)*100%</f>
        <v>1</v>
      </c>
      <c r="N28" s="149">
        <f>IFERROR(AVERAGE(M28:M32), )</f>
        <v>0.89333333333333331</v>
      </c>
      <c r="O28" s="34"/>
      <c r="P28" s="18" t="s">
        <v>178</v>
      </c>
      <c r="Q28" s="18">
        <f>(7/7)*100%</f>
        <v>1</v>
      </c>
      <c r="R28" s="149">
        <f>IFERROR(AVERAGE(Q28:Q32), )</f>
        <v>0.94510869565217381</v>
      </c>
      <c r="S28" s="34"/>
      <c r="T28" s="93" t="s">
        <v>250</v>
      </c>
      <c r="U28" s="93">
        <f>(3/3)*100%</f>
        <v>1</v>
      </c>
      <c r="V28" s="142">
        <f>IFERROR(AVERAGE(U28:U32), )</f>
        <v>0.99607843137254903</v>
      </c>
      <c r="W28" s="81" t="s">
        <v>275</v>
      </c>
      <c r="X28" s="48" t="s">
        <v>37</v>
      </c>
      <c r="Y28" s="49" t="s">
        <v>38</v>
      </c>
      <c r="Z28" s="49" t="s">
        <v>58</v>
      </c>
      <c r="AA28" s="24" t="s">
        <v>179</v>
      </c>
      <c r="AB28" s="49" t="s">
        <v>48</v>
      </c>
      <c r="AC28" s="49" t="s">
        <v>42</v>
      </c>
    </row>
    <row r="29" spans="1:32" ht="104" x14ac:dyDescent="0.35">
      <c r="A29" s="129"/>
      <c r="B29" s="145"/>
      <c r="C29" s="146"/>
      <c r="D29" s="117"/>
      <c r="E29" s="5">
        <v>27</v>
      </c>
      <c r="F29" s="17" t="s">
        <v>180</v>
      </c>
      <c r="G29" s="21">
        <v>1</v>
      </c>
      <c r="H29" s="18" t="s">
        <v>139</v>
      </c>
      <c r="I29" s="18">
        <f>(1/1)*100%</f>
        <v>1</v>
      </c>
      <c r="J29" s="150"/>
      <c r="K29" s="34"/>
      <c r="L29" s="18" t="s">
        <v>139</v>
      </c>
      <c r="M29" s="18">
        <f>(1/1)*100%</f>
        <v>1</v>
      </c>
      <c r="N29" s="150"/>
      <c r="O29" s="34"/>
      <c r="P29" s="18" t="s">
        <v>181</v>
      </c>
      <c r="Q29" s="18">
        <f>+(1/1)*100%</f>
        <v>1</v>
      </c>
      <c r="R29" s="150"/>
      <c r="S29" s="34"/>
      <c r="T29" s="93" t="s">
        <v>181</v>
      </c>
      <c r="U29" s="93">
        <f>+(1/1)*100%</f>
        <v>1</v>
      </c>
      <c r="V29" s="143"/>
      <c r="W29" s="81" t="s">
        <v>276</v>
      </c>
      <c r="X29" s="48" t="s">
        <v>37</v>
      </c>
      <c r="Y29" s="49" t="s">
        <v>38</v>
      </c>
      <c r="Z29" s="49" t="s">
        <v>39</v>
      </c>
      <c r="AA29" s="24" t="s">
        <v>182</v>
      </c>
      <c r="AB29" s="49" t="s">
        <v>48</v>
      </c>
      <c r="AC29" s="49" t="s">
        <v>42</v>
      </c>
    </row>
    <row r="30" spans="1:32" ht="106.5" customHeight="1" x14ac:dyDescent="0.35">
      <c r="A30" s="129"/>
      <c r="B30" s="145"/>
      <c r="C30" s="146"/>
      <c r="D30" s="117"/>
      <c r="E30" s="5">
        <v>28</v>
      </c>
      <c r="F30" s="17" t="s">
        <v>183</v>
      </c>
      <c r="G30" s="21">
        <v>1</v>
      </c>
      <c r="H30" s="18" t="s">
        <v>184</v>
      </c>
      <c r="I30" s="18">
        <f>(24/24)*100%</f>
        <v>1</v>
      </c>
      <c r="J30" s="150"/>
      <c r="K30" s="34"/>
      <c r="L30" s="18" t="s">
        <v>185</v>
      </c>
      <c r="M30" s="18">
        <f>(17/17)*100%</f>
        <v>1</v>
      </c>
      <c r="N30" s="150"/>
      <c r="O30" s="34"/>
      <c r="P30" s="18" t="s">
        <v>186</v>
      </c>
      <c r="Q30" s="18">
        <f>+(23/23)*100%</f>
        <v>1</v>
      </c>
      <c r="R30" s="150"/>
      <c r="S30" s="34"/>
      <c r="T30" s="93" t="s">
        <v>272</v>
      </c>
      <c r="U30" s="93">
        <f>+(15/15)*100%</f>
        <v>1</v>
      </c>
      <c r="V30" s="143"/>
      <c r="W30" s="81" t="s">
        <v>277</v>
      </c>
      <c r="X30" s="48" t="s">
        <v>37</v>
      </c>
      <c r="Y30" s="49" t="s">
        <v>38</v>
      </c>
      <c r="Z30" s="49" t="s">
        <v>58</v>
      </c>
      <c r="AA30" s="24" t="s">
        <v>187</v>
      </c>
      <c r="AB30" s="49" t="s">
        <v>48</v>
      </c>
      <c r="AC30" s="49" t="s">
        <v>42</v>
      </c>
    </row>
    <row r="31" spans="1:32" s="51" customFormat="1" ht="205.5" customHeight="1" x14ac:dyDescent="0.35">
      <c r="A31" s="129"/>
      <c r="B31" s="145"/>
      <c r="C31" s="146"/>
      <c r="D31" s="117"/>
      <c r="E31" s="5">
        <v>29</v>
      </c>
      <c r="F31" s="17" t="s">
        <v>188</v>
      </c>
      <c r="G31" s="50">
        <v>1</v>
      </c>
      <c r="H31" s="33" t="s">
        <v>189</v>
      </c>
      <c r="I31" s="18">
        <f>(220/339)*100%</f>
        <v>0.64896755162241893</v>
      </c>
      <c r="J31" s="150"/>
      <c r="K31" s="34"/>
      <c r="L31" s="18" t="s">
        <v>190</v>
      </c>
      <c r="M31" s="18">
        <f>(7/7)*100%</f>
        <v>1</v>
      </c>
      <c r="N31" s="150"/>
      <c r="O31" s="34"/>
      <c r="P31" s="18" t="s">
        <v>191</v>
      </c>
      <c r="Q31" s="18">
        <f>+(42/46)*100%</f>
        <v>0.91304347826086951</v>
      </c>
      <c r="R31" s="150"/>
      <c r="S31" s="34"/>
      <c r="T31" s="93" t="s">
        <v>273</v>
      </c>
      <c r="U31" s="93">
        <f>+(11/11)*100%</f>
        <v>1</v>
      </c>
      <c r="V31" s="143"/>
      <c r="W31" s="81" t="s">
        <v>278</v>
      </c>
      <c r="X31" s="48" t="s">
        <v>37</v>
      </c>
      <c r="Y31" s="49" t="s">
        <v>38</v>
      </c>
      <c r="Z31" s="49" t="s">
        <v>58</v>
      </c>
      <c r="AA31" s="24" t="s">
        <v>192</v>
      </c>
      <c r="AB31" s="49" t="s">
        <v>41</v>
      </c>
      <c r="AC31" s="49" t="s">
        <v>42</v>
      </c>
    </row>
    <row r="32" spans="1:32" ht="131" customHeight="1" x14ac:dyDescent="0.35">
      <c r="A32" s="129"/>
      <c r="B32" s="145"/>
      <c r="C32" s="146"/>
      <c r="D32" s="117"/>
      <c r="E32" s="5">
        <v>30</v>
      </c>
      <c r="F32" s="17" t="s">
        <v>193</v>
      </c>
      <c r="G32" s="21">
        <v>0.93700000000000006</v>
      </c>
      <c r="H32" s="18" t="s">
        <v>122</v>
      </c>
      <c r="I32" s="18">
        <f>(2/4)*100%</f>
        <v>0.5</v>
      </c>
      <c r="J32" s="151"/>
      <c r="K32" s="34"/>
      <c r="L32" s="18" t="s">
        <v>194</v>
      </c>
      <c r="M32" s="18">
        <f>(28/60)*100%</f>
        <v>0.46666666666666667</v>
      </c>
      <c r="N32" s="151"/>
      <c r="O32" s="34"/>
      <c r="P32" s="18" t="s">
        <v>195</v>
      </c>
      <c r="Q32" s="18">
        <f>+(39/48)*100%</f>
        <v>0.8125</v>
      </c>
      <c r="R32" s="151"/>
      <c r="S32" s="34"/>
      <c r="T32" s="93" t="s">
        <v>274</v>
      </c>
      <c r="U32" s="93">
        <f>+(50/51)*100%</f>
        <v>0.98039215686274506</v>
      </c>
      <c r="V32" s="144"/>
      <c r="W32" s="81" t="s">
        <v>279</v>
      </c>
      <c r="X32" s="48" t="s">
        <v>37</v>
      </c>
      <c r="Y32" s="49" t="s">
        <v>38</v>
      </c>
      <c r="Z32" s="49" t="s">
        <v>58</v>
      </c>
      <c r="AA32" s="24" t="s">
        <v>196</v>
      </c>
      <c r="AB32" s="49" t="s">
        <v>48</v>
      </c>
      <c r="AC32" s="49" t="s">
        <v>42</v>
      </c>
    </row>
    <row r="33" spans="1:29" ht="98.15" customHeight="1" x14ac:dyDescent="0.35">
      <c r="A33" s="129"/>
      <c r="B33" s="145"/>
      <c r="C33" s="152" t="s">
        <v>197</v>
      </c>
      <c r="D33" s="117" t="s">
        <v>307</v>
      </c>
      <c r="E33" s="5">
        <v>31</v>
      </c>
      <c r="F33" s="17" t="s">
        <v>198</v>
      </c>
      <c r="G33" s="21">
        <v>1</v>
      </c>
      <c r="H33" s="22" t="s">
        <v>199</v>
      </c>
      <c r="I33" s="22">
        <f>(33%/100)*100</f>
        <v>0.33</v>
      </c>
      <c r="J33" s="154">
        <f>IFERROR(AVERAGE(I33:I34), )</f>
        <v>0.53038461538461534</v>
      </c>
      <c r="K33" s="52" t="s">
        <v>200</v>
      </c>
      <c r="L33" s="16" t="s">
        <v>201</v>
      </c>
      <c r="M33" s="16">
        <f>(67%/100)*100</f>
        <v>0.67</v>
      </c>
      <c r="N33" s="154">
        <f>IFERROR(AVERAGE(M33:M34), )</f>
        <v>0.83499999999999996</v>
      </c>
      <c r="O33" s="52" t="s">
        <v>200</v>
      </c>
      <c r="P33" s="22" t="s">
        <v>202</v>
      </c>
      <c r="Q33" s="22">
        <f>(72.58%/100)*100</f>
        <v>0.7258</v>
      </c>
      <c r="R33" s="154">
        <f>IFERROR(AVERAGE(Q33:Q34), )</f>
        <v>0.8629</v>
      </c>
      <c r="S33" s="52" t="s">
        <v>200</v>
      </c>
      <c r="T33" s="90" t="s">
        <v>290</v>
      </c>
      <c r="U33" s="90">
        <f>(97.5/100)*100%</f>
        <v>0.97499999999999998</v>
      </c>
      <c r="V33" s="126">
        <f>IFERROR(AVERAGE(U33:U34), )</f>
        <v>0.98750000000000004</v>
      </c>
      <c r="W33" s="93" t="s">
        <v>296</v>
      </c>
      <c r="X33" s="48" t="s">
        <v>37</v>
      </c>
      <c r="Y33" s="49" t="s">
        <v>38</v>
      </c>
      <c r="Z33" s="13" t="s">
        <v>39</v>
      </c>
      <c r="AA33" s="15" t="s">
        <v>203</v>
      </c>
      <c r="AB33" s="13" t="s">
        <v>48</v>
      </c>
      <c r="AC33" s="49" t="s">
        <v>42</v>
      </c>
    </row>
    <row r="34" spans="1:29" ht="51" customHeight="1" x14ac:dyDescent="0.35">
      <c r="A34" s="129"/>
      <c r="B34" s="145"/>
      <c r="C34" s="153"/>
      <c r="D34" s="117"/>
      <c r="E34" s="5">
        <v>32</v>
      </c>
      <c r="F34" s="17" t="s">
        <v>204</v>
      </c>
      <c r="G34" s="21">
        <v>1</v>
      </c>
      <c r="H34" s="16" t="s">
        <v>205</v>
      </c>
      <c r="I34" s="16">
        <f>(38/52)*100%</f>
        <v>0.73076923076923073</v>
      </c>
      <c r="J34" s="155"/>
      <c r="K34" s="16"/>
      <c r="L34" s="16" t="s">
        <v>206</v>
      </c>
      <c r="M34" s="16">
        <f>(39/39)*100%</f>
        <v>1</v>
      </c>
      <c r="N34" s="155"/>
      <c r="O34" s="16"/>
      <c r="P34" s="22" t="s">
        <v>207</v>
      </c>
      <c r="Q34" s="53">
        <f>(30/30)*100%</f>
        <v>1</v>
      </c>
      <c r="R34" s="155"/>
      <c r="S34" s="16"/>
      <c r="T34" s="90" t="s">
        <v>75</v>
      </c>
      <c r="U34" s="90">
        <f>(32/32)*100%</f>
        <v>1</v>
      </c>
      <c r="V34" s="128"/>
      <c r="W34" s="90" t="s">
        <v>297</v>
      </c>
      <c r="X34" s="48" t="s">
        <v>37</v>
      </c>
      <c r="Y34" s="49" t="s">
        <v>38</v>
      </c>
      <c r="Z34" s="13" t="s">
        <v>39</v>
      </c>
      <c r="AA34" s="15" t="s">
        <v>208</v>
      </c>
      <c r="AB34" s="13" t="s">
        <v>48</v>
      </c>
      <c r="AC34" s="49" t="s">
        <v>42</v>
      </c>
    </row>
    <row r="35" spans="1:29" ht="116.15" customHeight="1" x14ac:dyDescent="0.35">
      <c r="A35" s="129"/>
      <c r="B35" s="145"/>
      <c r="C35" s="152" t="s">
        <v>209</v>
      </c>
      <c r="D35" s="117"/>
      <c r="E35" s="5">
        <v>33</v>
      </c>
      <c r="F35" s="17" t="s">
        <v>210</v>
      </c>
      <c r="G35" s="21">
        <v>1</v>
      </c>
      <c r="H35" s="16" t="s">
        <v>107</v>
      </c>
      <c r="I35" s="16" t="s">
        <v>38</v>
      </c>
      <c r="J35" s="118">
        <f>IFERROR(AVERAGE(I35:I36), )</f>
        <v>0.28399999999999997</v>
      </c>
      <c r="K35" s="16" t="s">
        <v>211</v>
      </c>
      <c r="L35" s="16" t="s">
        <v>212</v>
      </c>
      <c r="M35" s="16">
        <f>(12/13)*100%</f>
        <v>0.92307692307692313</v>
      </c>
      <c r="N35" s="118">
        <f>IFERROR(AVERAGE(M35:M36), )</f>
        <v>0.70349498327759208</v>
      </c>
      <c r="O35" s="16" t="s">
        <v>211</v>
      </c>
      <c r="P35" s="16" t="s">
        <v>213</v>
      </c>
      <c r="Q35" s="16">
        <f>(6/6)*100%</f>
        <v>1</v>
      </c>
      <c r="R35" s="118">
        <f>IFERROR(AVERAGE(Q35:Q36), )</f>
        <v>0.88413043478260867</v>
      </c>
      <c r="S35" s="16" t="s">
        <v>211</v>
      </c>
      <c r="T35" s="90" t="s">
        <v>291</v>
      </c>
      <c r="U35" s="90">
        <f>(2/2)*100%</f>
        <v>1</v>
      </c>
      <c r="V35" s="126">
        <f>IFERROR(AVERAGE(U35:U36), )</f>
        <v>1</v>
      </c>
      <c r="W35" s="90"/>
      <c r="X35" s="48" t="s">
        <v>37</v>
      </c>
      <c r="Y35" s="49" t="s">
        <v>38</v>
      </c>
      <c r="Z35" s="49" t="s">
        <v>58</v>
      </c>
      <c r="AA35" s="15" t="s">
        <v>214</v>
      </c>
      <c r="AB35" s="54" t="s">
        <v>48</v>
      </c>
      <c r="AC35" s="54" t="s">
        <v>42</v>
      </c>
    </row>
    <row r="36" spans="1:29" ht="72.650000000000006" customHeight="1" x14ac:dyDescent="0.35">
      <c r="A36" s="129"/>
      <c r="B36" s="145"/>
      <c r="C36" s="153"/>
      <c r="D36" s="117"/>
      <c r="E36" s="5">
        <v>34</v>
      </c>
      <c r="F36" s="17" t="s">
        <v>215</v>
      </c>
      <c r="G36" s="21">
        <v>1</v>
      </c>
      <c r="H36" s="16" t="s">
        <v>216</v>
      </c>
      <c r="I36" s="16">
        <f>(710% /25) *100%</f>
        <v>0.28399999999999997</v>
      </c>
      <c r="J36" s="120"/>
      <c r="K36" s="16"/>
      <c r="L36" s="16" t="s">
        <v>217</v>
      </c>
      <c r="M36" s="16">
        <f>(1113%/23)*100%</f>
        <v>0.48391304347826092</v>
      </c>
      <c r="N36" s="120"/>
      <c r="O36" s="16"/>
      <c r="P36" s="16" t="s">
        <v>218</v>
      </c>
      <c r="Q36" s="16">
        <f>(1767%/23)*100%</f>
        <v>0.76826086956521744</v>
      </c>
      <c r="R36" s="120"/>
      <c r="S36" s="16"/>
      <c r="T36" s="89" t="s">
        <v>292</v>
      </c>
      <c r="U36" s="90">
        <f>(2200%/22)*100%</f>
        <v>1</v>
      </c>
      <c r="V36" s="128"/>
      <c r="W36" s="90"/>
      <c r="X36" s="48" t="s">
        <v>37</v>
      </c>
      <c r="Y36" s="49" t="s">
        <v>38</v>
      </c>
      <c r="Z36" s="13" t="s">
        <v>39</v>
      </c>
      <c r="AA36" s="15" t="s">
        <v>219</v>
      </c>
      <c r="AB36" s="54" t="s">
        <v>48</v>
      </c>
      <c r="AC36" s="54" t="s">
        <v>42</v>
      </c>
    </row>
    <row r="37" spans="1:29" ht="73.5" customHeight="1" x14ac:dyDescent="0.35">
      <c r="A37" s="129"/>
      <c r="B37" s="145"/>
      <c r="C37" s="146" t="s">
        <v>220</v>
      </c>
      <c r="D37" s="117"/>
      <c r="E37" s="5">
        <v>35</v>
      </c>
      <c r="F37" s="17" t="s">
        <v>221</v>
      </c>
      <c r="G37" s="21">
        <v>1</v>
      </c>
      <c r="H37" s="55" t="s">
        <v>222</v>
      </c>
      <c r="I37" s="56">
        <f>(22876798368/38865190000)*100%</f>
        <v>0.58861923402407146</v>
      </c>
      <c r="J37" s="157">
        <f>IFERROR(AVERAGE(I37:I39), )</f>
        <v>0.58404172015184608</v>
      </c>
      <c r="K37" s="16"/>
      <c r="L37" s="16" t="s">
        <v>223</v>
      </c>
      <c r="M37" s="16">
        <f>(26970108854/38865190000)* 100%</f>
        <v>0.69393997183597966</v>
      </c>
      <c r="N37" s="157">
        <f>IFERROR(AVERAGE(M37:M39), )</f>
        <v>0.72021965107378361</v>
      </c>
      <c r="O37" s="16"/>
      <c r="P37" s="22" t="s">
        <v>224</v>
      </c>
      <c r="Q37" s="16">
        <f>(34047595523/39665190000)* 100%</f>
        <v>0.85837469889845475</v>
      </c>
      <c r="R37" s="157">
        <f>IFERROR(AVERAGE(Q37:Q39), )</f>
        <v>0.86909342530924005</v>
      </c>
      <c r="S37" s="16"/>
      <c r="T37" s="90" t="s">
        <v>293</v>
      </c>
      <c r="U37" s="90">
        <f>(39491601074/39665190000)* 100%</f>
        <v>0.9956236456701707</v>
      </c>
      <c r="V37" s="160">
        <f>IFERROR(AVERAGE(U37:U39), )</f>
        <v>0.97274626557368349</v>
      </c>
      <c r="W37" s="90"/>
      <c r="X37" s="14" t="s">
        <v>37</v>
      </c>
      <c r="Y37" s="14" t="s">
        <v>38</v>
      </c>
      <c r="Z37" s="13" t="s">
        <v>39</v>
      </c>
      <c r="AA37" s="15" t="s">
        <v>225</v>
      </c>
      <c r="AB37" s="13" t="s">
        <v>41</v>
      </c>
      <c r="AC37" s="13" t="s">
        <v>42</v>
      </c>
    </row>
    <row r="38" spans="1:29" ht="111.65" customHeight="1" x14ac:dyDescent="0.35">
      <c r="A38" s="129"/>
      <c r="B38" s="145"/>
      <c r="C38" s="146"/>
      <c r="D38" s="117"/>
      <c r="E38" s="5">
        <v>36</v>
      </c>
      <c r="F38" s="17" t="s">
        <v>226</v>
      </c>
      <c r="G38" s="21">
        <v>1</v>
      </c>
      <c r="H38" s="16" t="s">
        <v>227</v>
      </c>
      <c r="I38" s="16">
        <f>(10%+3.5%+3.5%+3.5%+5%)/(40%+15%+15%+15%+15%)</f>
        <v>0.255</v>
      </c>
      <c r="J38" s="158"/>
      <c r="K38" s="57" t="s">
        <v>228</v>
      </c>
      <c r="L38" s="16" t="s">
        <v>229</v>
      </c>
      <c r="M38" s="16">
        <f>(22.8%+9.4%+8.4%+7.5%+7.5%)/(40%+15%+15%+15%+15%)*100%</f>
        <v>0.55600000000000005</v>
      </c>
      <c r="N38" s="158"/>
      <c r="O38" s="57" t="s">
        <v>228</v>
      </c>
      <c r="P38" s="18" t="s">
        <v>230</v>
      </c>
      <c r="Q38" s="18">
        <f>(32.8%+13.5%+15%+12.15%+10.35%)/
(40%+15%+15%+15%+15%)*100%</f>
        <v>0.83799999999999997</v>
      </c>
      <c r="R38" s="158"/>
      <c r="S38" s="57" t="s">
        <v>228</v>
      </c>
      <c r="T38" s="94" t="s">
        <v>294</v>
      </c>
      <c r="U38" s="90">
        <v>1</v>
      </c>
      <c r="V38" s="161"/>
      <c r="W38" s="90" t="s">
        <v>298</v>
      </c>
      <c r="X38" s="14" t="s">
        <v>37</v>
      </c>
      <c r="Y38" s="14" t="s">
        <v>38</v>
      </c>
      <c r="Z38" s="13" t="s">
        <v>39</v>
      </c>
      <c r="AA38" s="15" t="s">
        <v>231</v>
      </c>
      <c r="AB38" s="54" t="s">
        <v>48</v>
      </c>
      <c r="AC38" s="54" t="s">
        <v>42</v>
      </c>
    </row>
    <row r="39" spans="1:29" ht="85.5" customHeight="1" x14ac:dyDescent="0.35">
      <c r="A39" s="129"/>
      <c r="B39" s="145"/>
      <c r="C39" s="146"/>
      <c r="D39" s="117"/>
      <c r="E39" s="5">
        <v>37</v>
      </c>
      <c r="F39" s="17" t="s">
        <v>232</v>
      </c>
      <c r="G39" s="21">
        <v>0.91</v>
      </c>
      <c r="H39" s="16" t="s">
        <v>233</v>
      </c>
      <c r="I39" s="16">
        <f>(65228/71797)*100%</f>
        <v>0.90850592643146655</v>
      </c>
      <c r="J39" s="159"/>
      <c r="K39" s="47"/>
      <c r="L39" s="16" t="s">
        <v>234</v>
      </c>
      <c r="M39" s="16">
        <f>(65804/72255)*100%</f>
        <v>0.91071898138537122</v>
      </c>
      <c r="N39" s="159"/>
      <c r="O39" s="47"/>
      <c r="P39" s="22" t="s">
        <v>235</v>
      </c>
      <c r="Q39" s="22">
        <f>(65986/72440)*100%</f>
        <v>0.91090557702926556</v>
      </c>
      <c r="R39" s="159"/>
      <c r="S39" s="47"/>
      <c r="T39" s="90" t="s">
        <v>295</v>
      </c>
      <c r="U39" s="90">
        <f>(66241/71797)*100%</f>
        <v>0.92261515105087955</v>
      </c>
      <c r="V39" s="162"/>
      <c r="W39" s="95"/>
      <c r="X39" s="14" t="s">
        <v>37</v>
      </c>
      <c r="Y39" s="14" t="s">
        <v>38</v>
      </c>
      <c r="Z39" s="13" t="s">
        <v>39</v>
      </c>
      <c r="AA39" s="15" t="s">
        <v>236</v>
      </c>
      <c r="AB39" s="54" t="s">
        <v>48</v>
      </c>
      <c r="AC39" s="54" t="s">
        <v>42</v>
      </c>
    </row>
    <row r="40" spans="1:29" ht="69" customHeight="1" x14ac:dyDescent="0.35">
      <c r="A40" s="129" t="s">
        <v>30</v>
      </c>
      <c r="B40" s="156" t="s">
        <v>237</v>
      </c>
      <c r="C40" s="58" t="s">
        <v>238</v>
      </c>
      <c r="D40" s="13" t="s">
        <v>312</v>
      </c>
      <c r="E40" s="5">
        <v>38</v>
      </c>
      <c r="F40" s="17" t="s">
        <v>239</v>
      </c>
      <c r="G40" s="21">
        <v>1</v>
      </c>
      <c r="H40" s="8" t="s">
        <v>185</v>
      </c>
      <c r="I40" s="9">
        <f>(17/17)*100%</f>
        <v>1</v>
      </c>
      <c r="J40" s="9">
        <f>IFERROR(AVERAGE(I40), )</f>
        <v>1</v>
      </c>
      <c r="K40" s="10"/>
      <c r="L40" s="8" t="s">
        <v>240</v>
      </c>
      <c r="M40" s="16">
        <f>(22/22)*100%</f>
        <v>1</v>
      </c>
      <c r="N40" s="9">
        <f>IFERROR(AVERAGE(M40), )</f>
        <v>1</v>
      </c>
      <c r="O40" s="10"/>
      <c r="P40" s="59" t="s">
        <v>185</v>
      </c>
      <c r="Q40" s="59">
        <f>(17/17)*100%</f>
        <v>1</v>
      </c>
      <c r="R40" s="9">
        <f>IFERROR(AVERAGE(Q40), )</f>
        <v>1</v>
      </c>
      <c r="S40" s="10"/>
      <c r="T40" s="90" t="s">
        <v>269</v>
      </c>
      <c r="U40" s="90">
        <f>(18/18)*100%</f>
        <v>1</v>
      </c>
      <c r="V40" s="82">
        <f>IFERROR(AVERAGE(U40), )</f>
        <v>1</v>
      </c>
      <c r="W40" s="91" t="s">
        <v>270</v>
      </c>
      <c r="X40" s="14" t="s">
        <v>37</v>
      </c>
      <c r="Y40" s="14">
        <v>1</v>
      </c>
      <c r="Z40" s="14" t="s">
        <v>58</v>
      </c>
      <c r="AA40" s="15" t="s">
        <v>241</v>
      </c>
      <c r="AB40" s="13" t="s">
        <v>48</v>
      </c>
      <c r="AC40" s="13" t="s">
        <v>111</v>
      </c>
    </row>
    <row r="41" spans="1:29" ht="71.25" customHeight="1" x14ac:dyDescent="0.35">
      <c r="A41" s="129"/>
      <c r="B41" s="156"/>
      <c r="C41" s="58" t="s">
        <v>242</v>
      </c>
      <c r="D41" s="13" t="s">
        <v>243</v>
      </c>
      <c r="E41" s="5">
        <v>39</v>
      </c>
      <c r="F41" s="17" t="s">
        <v>244</v>
      </c>
      <c r="G41" s="21">
        <v>1</v>
      </c>
      <c r="H41" s="8" t="s">
        <v>245</v>
      </c>
      <c r="I41" s="9">
        <f>(8/8)*100%</f>
        <v>1</v>
      </c>
      <c r="J41" s="9">
        <f>IFERROR(AVERAGE(I41), )</f>
        <v>1</v>
      </c>
      <c r="K41" s="10"/>
      <c r="L41" s="8" t="s">
        <v>245</v>
      </c>
      <c r="M41" s="9">
        <f>(8/8)*100%</f>
        <v>1</v>
      </c>
      <c r="N41" s="9">
        <f>IFERROR(AVERAGE(M41), )</f>
        <v>1</v>
      </c>
      <c r="O41" s="10"/>
      <c r="P41" s="8" t="s">
        <v>246</v>
      </c>
      <c r="Q41" s="9">
        <f>(8/8)*100%</f>
        <v>1</v>
      </c>
      <c r="R41" s="9">
        <f>IFERROR(AVERAGE(Q41), )</f>
        <v>1</v>
      </c>
      <c r="S41" s="10"/>
      <c r="T41" s="94" t="s">
        <v>271</v>
      </c>
      <c r="U41" s="82">
        <f>(42/42)*100%</f>
        <v>1</v>
      </c>
      <c r="V41" s="82">
        <f>IFERROR(AVERAGE(U41), )</f>
        <v>1</v>
      </c>
      <c r="W41" s="91"/>
      <c r="X41" s="13" t="s">
        <v>37</v>
      </c>
      <c r="Y41" s="14" t="s">
        <v>38</v>
      </c>
      <c r="Z41" s="13" t="s">
        <v>58</v>
      </c>
      <c r="AA41" s="15" t="s">
        <v>247</v>
      </c>
      <c r="AB41" s="13" t="s">
        <v>48</v>
      </c>
      <c r="AC41" s="13" t="s">
        <v>42</v>
      </c>
    </row>
    <row r="42" spans="1:29" ht="98.5" customHeight="1" x14ac:dyDescent="0.35">
      <c r="A42" s="129"/>
      <c r="B42" s="156"/>
      <c r="C42" s="60" t="s">
        <v>248</v>
      </c>
      <c r="D42" s="13" t="s">
        <v>313</v>
      </c>
      <c r="E42" s="5">
        <v>40</v>
      </c>
      <c r="F42" s="17" t="s">
        <v>249</v>
      </c>
      <c r="G42" s="21">
        <v>1</v>
      </c>
      <c r="H42" s="31" t="s">
        <v>250</v>
      </c>
      <c r="I42" s="16">
        <f>(3/3)*100%</f>
        <v>1</v>
      </c>
      <c r="J42" s="61">
        <f>IFERROR(AVERAGE(I42:I42), )</f>
        <v>1</v>
      </c>
      <c r="K42" s="10" t="s">
        <v>251</v>
      </c>
      <c r="L42" s="31" t="s">
        <v>250</v>
      </c>
      <c r="M42" s="31">
        <f>(3/3)*100%</f>
        <v>1</v>
      </c>
      <c r="N42" s="61">
        <f>IFERROR(AVERAGE(M42:M42), )</f>
        <v>1</v>
      </c>
      <c r="O42" s="10" t="s">
        <v>251</v>
      </c>
      <c r="P42" s="62" t="s">
        <v>178</v>
      </c>
      <c r="Q42" s="63">
        <f>(7/7)*100%</f>
        <v>1</v>
      </c>
      <c r="R42" s="61">
        <f>IFERROR(AVERAGE(Q42:Q42), )</f>
        <v>1</v>
      </c>
      <c r="S42" s="10" t="s">
        <v>251</v>
      </c>
      <c r="T42" s="23" t="s">
        <v>268</v>
      </c>
      <c r="U42" s="87">
        <f>(4/4)*100%</f>
        <v>1</v>
      </c>
      <c r="V42" s="88">
        <f>IFERROR(AVERAGE(U42:U42), )</f>
        <v>1</v>
      </c>
      <c r="W42" s="91" t="s">
        <v>267</v>
      </c>
      <c r="X42" s="13" t="s">
        <v>37</v>
      </c>
      <c r="Y42" s="14" t="s">
        <v>38</v>
      </c>
      <c r="Z42" s="13" t="s">
        <v>39</v>
      </c>
      <c r="AA42" s="15" t="s">
        <v>252</v>
      </c>
      <c r="AB42" s="13" t="s">
        <v>48</v>
      </c>
      <c r="AC42" s="13" t="s">
        <v>253</v>
      </c>
    </row>
    <row r="43" spans="1:29" ht="71" customHeight="1" x14ac:dyDescent="0.35">
      <c r="A43" s="64"/>
      <c r="B43" s="64"/>
      <c r="C43" s="64"/>
      <c r="D43" s="64"/>
      <c r="E43" s="64"/>
      <c r="F43" s="64"/>
      <c r="G43" s="21" t="s">
        <v>254</v>
      </c>
      <c r="H43" s="64"/>
      <c r="I43" s="16">
        <f>IFERROR(AVERAGE(I3:I42), )</f>
        <v>0.69601835945271362</v>
      </c>
      <c r="J43" s="16">
        <f>IFERROR(AVERAGE(J3:J42), )</f>
        <v>0.65073117930312574</v>
      </c>
      <c r="K43" s="64"/>
      <c r="L43" s="64"/>
      <c r="M43" s="16">
        <f>IFERROR(AVERAGE(M3:M42), )</f>
        <v>0.79889610071923578</v>
      </c>
      <c r="N43" s="16">
        <f>IFERROR(AVERAGE(N3:N42), )</f>
        <v>0.81092066906787941</v>
      </c>
      <c r="O43" s="64"/>
      <c r="P43" s="64"/>
      <c r="Q43" s="16">
        <f>IFERROR(AVERAGE(Q3:Q42), )</f>
        <v>0.87643971550519595</v>
      </c>
      <c r="R43" s="16">
        <f>IFERROR(AVERAGE(R3:R42), )</f>
        <v>0.88628431006756025</v>
      </c>
      <c r="S43" s="64"/>
      <c r="T43" s="64"/>
      <c r="U43" s="90">
        <f>IFERROR(AVERAGE(U3:U42), )</f>
        <v>0.97615854784172562</v>
      </c>
      <c r="V43" s="90">
        <f>IFERROR(AVERAGE(V3:V42), )</f>
        <v>0.98665503886811656</v>
      </c>
      <c r="W43" s="64"/>
      <c r="X43" s="65"/>
      <c r="Y43" s="66"/>
      <c r="Z43" s="65"/>
      <c r="AA43" s="67"/>
      <c r="AB43" s="65"/>
      <c r="AC43" s="65"/>
    </row>
    <row r="44" spans="1:29" x14ac:dyDescent="0.35">
      <c r="A44" s="68" t="s">
        <v>255</v>
      </c>
      <c r="B44" s="1" t="s">
        <v>256</v>
      </c>
      <c r="E44" s="71"/>
      <c r="AC44" s="78" t="s">
        <v>257</v>
      </c>
    </row>
    <row r="45" spans="1:29" x14ac:dyDescent="0.35">
      <c r="A45" s="68" t="s">
        <v>258</v>
      </c>
      <c r="B45" s="79" t="s">
        <v>259</v>
      </c>
    </row>
    <row r="46" spans="1:29" x14ac:dyDescent="0.35">
      <c r="A46" s="68" t="s">
        <v>260</v>
      </c>
      <c r="B46" s="1" t="s">
        <v>261</v>
      </c>
    </row>
  </sheetData>
  <mergeCells count="82">
    <mergeCell ref="A40:A42"/>
    <mergeCell ref="B40:B42"/>
    <mergeCell ref="V35:V36"/>
    <mergeCell ref="C37:C39"/>
    <mergeCell ref="J37:J39"/>
    <mergeCell ref="N37:N39"/>
    <mergeCell ref="R37:R39"/>
    <mergeCell ref="V37:V39"/>
    <mergeCell ref="V33:V34"/>
    <mergeCell ref="C35:C36"/>
    <mergeCell ref="J35:J36"/>
    <mergeCell ref="N35:N36"/>
    <mergeCell ref="R35:R36"/>
    <mergeCell ref="C33:C34"/>
    <mergeCell ref="D33:D39"/>
    <mergeCell ref="J33:J34"/>
    <mergeCell ref="N33:N34"/>
    <mergeCell ref="R33:R34"/>
    <mergeCell ref="C28:C32"/>
    <mergeCell ref="D28:D32"/>
    <mergeCell ref="J28:J32"/>
    <mergeCell ref="N28:N32"/>
    <mergeCell ref="R28:R32"/>
    <mergeCell ref="V28:V32"/>
    <mergeCell ref="V22:V23"/>
    <mergeCell ref="A24:A27"/>
    <mergeCell ref="B24:B39"/>
    <mergeCell ref="C24:C27"/>
    <mergeCell ref="D24:D27"/>
    <mergeCell ref="J24:J27"/>
    <mergeCell ref="N24:N27"/>
    <mergeCell ref="R24:R27"/>
    <mergeCell ref="V24:V27"/>
    <mergeCell ref="A28:A39"/>
    <mergeCell ref="A22:A23"/>
    <mergeCell ref="C22:C23"/>
    <mergeCell ref="D22:D23"/>
    <mergeCell ref="J22:J23"/>
    <mergeCell ref="N22:N23"/>
    <mergeCell ref="R22:R23"/>
    <mergeCell ref="D15:D21"/>
    <mergeCell ref="J15:J21"/>
    <mergeCell ref="N15:N21"/>
    <mergeCell ref="R15:R21"/>
    <mergeCell ref="V3:V7"/>
    <mergeCell ref="R8:R10"/>
    <mergeCell ref="V8:V10"/>
    <mergeCell ref="V15:V21"/>
    <mergeCell ref="A16:A21"/>
    <mergeCell ref="V11:V12"/>
    <mergeCell ref="A13:A14"/>
    <mergeCell ref="B13:B23"/>
    <mergeCell ref="C13:C14"/>
    <mergeCell ref="D13:D14"/>
    <mergeCell ref="J13:J14"/>
    <mergeCell ref="N13:N14"/>
    <mergeCell ref="R13:R14"/>
    <mergeCell ref="V13:V14"/>
    <mergeCell ref="C15:C21"/>
    <mergeCell ref="A11:A12"/>
    <mergeCell ref="N8:N10"/>
    <mergeCell ref="N11:N12"/>
    <mergeCell ref="R11:R12"/>
    <mergeCell ref="N3:N7"/>
    <mergeCell ref="R3:R7"/>
    <mergeCell ref="A1:F1"/>
    <mergeCell ref="G1:G2"/>
    <mergeCell ref="H1:W1"/>
    <mergeCell ref="X1:AC1"/>
    <mergeCell ref="B2:C2"/>
    <mergeCell ref="A3:A4"/>
    <mergeCell ref="B3:B12"/>
    <mergeCell ref="C3:C7"/>
    <mergeCell ref="D3:D6"/>
    <mergeCell ref="J3:J7"/>
    <mergeCell ref="A5:A10"/>
    <mergeCell ref="C8:C10"/>
    <mergeCell ref="D8:D10"/>
    <mergeCell ref="J8:J10"/>
    <mergeCell ref="C11:C12"/>
    <mergeCell ref="D11:D12"/>
    <mergeCell ref="J11:J12"/>
  </mergeCells>
  <printOptions horizontalCentered="1"/>
  <pageMargins left="0.39370078740157483" right="0.39370078740157483" top="0.39370078740157483" bottom="0.39370078740157483" header="0" footer="0"/>
  <pageSetup scale="46" orientation="portrait" r:id="rId1"/>
  <headerFooter>
    <oddHeader xml:space="preserve">&amp;C </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326445EB563C4490206962DF13F12B" ma:contentTypeVersion="16" ma:contentTypeDescription="Crear nuevo documento." ma:contentTypeScope="" ma:versionID="08b11de7d30052a92bd1502b93e1f56a">
  <xsd:schema xmlns:xsd="http://www.w3.org/2001/XMLSchema" xmlns:xs="http://www.w3.org/2001/XMLSchema" xmlns:p="http://schemas.microsoft.com/office/2006/metadata/properties" xmlns:ns2="647d198d-ce2d-4089-b971-a4560e405573" xmlns:ns3="54feb777-8c2a-4440-8142-7764fcd4b27f" targetNamespace="http://schemas.microsoft.com/office/2006/metadata/properties" ma:root="true" ma:fieldsID="fb4824a7ee9ff9430ef4ec39b28aad46" ns2:_="" ns3:_="">
    <xsd:import namespace="647d198d-ce2d-4089-b971-a4560e405573"/>
    <xsd:import namespace="54feb777-8c2a-4440-8142-7764fcd4b27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7d198d-ce2d-4089-b971-a4560e4055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2ed3cf9b-5c39-45b0-81a8-e708307ed69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4feb777-8c2a-4440-8142-7764fcd4b27f"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cd20e257-dc98-42b3-acca-33cc8b93de65}" ma:internalName="TaxCatchAll" ma:showField="CatchAllData" ma:web="54feb777-8c2a-4440-8142-7764fcd4b2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B640DE-B249-4E45-AA09-B7B4C1E74252}">
  <ds:schemaRefs>
    <ds:schemaRef ds:uri="http://schemas.microsoft.com/sharepoint/v3/contenttype/forms"/>
  </ds:schemaRefs>
</ds:datastoreItem>
</file>

<file path=customXml/itemProps2.xml><?xml version="1.0" encoding="utf-8"?>
<ds:datastoreItem xmlns:ds="http://schemas.openxmlformats.org/officeDocument/2006/customXml" ds:itemID="{DAAA4E5B-6440-40E8-98E2-B30FA094EC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7d198d-ce2d-4089-b971-a4560e405573"/>
    <ds:schemaRef ds:uri="54feb777-8c2a-4440-8142-7764fcd4b2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Cuadro de Mando V.3 2022 Seg4T</vt:lpstr>
      <vt:lpstr>'Cuadro de Mando V.3 2022 Seg4T'!Área_de_impresión</vt:lpstr>
      <vt:lpstr>'Cuadro de Mando V.3 2022 Seg4T'!Títulos_a_imprimir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Alexander</cp:lastModifiedBy>
  <dcterms:created xsi:type="dcterms:W3CDTF">2022-12-14T19:09:30Z</dcterms:created>
  <dcterms:modified xsi:type="dcterms:W3CDTF">2023-01-30T21:43:07Z</dcterms:modified>
</cp:coreProperties>
</file>