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USUARIO\OneDrive - DADEP\Documentos OAP SharePoint\OAP - EQUIPOS\Equipo MIPG\Indicadores\Indicadores 2022\"/>
    </mc:Choice>
  </mc:AlternateContent>
  <xr:revisionPtr revIDLastSave="0" documentId="13_ncr:1_{FA820F61-DDFB-4F04-90FB-8043EC07DECB}" xr6:coauthVersionLast="47" xr6:coauthVersionMax="47" xr10:uidLastSave="{00000000-0000-0000-0000-000000000000}"/>
  <bookViews>
    <workbookView xWindow="-110" yWindow="-110" windowWidth="19420" windowHeight="10420" xr2:uid="{F969E5B5-33C2-41D6-BDC8-AF4D14A4E70F}"/>
  </bookViews>
  <sheets>
    <sheet name="Cuadro de Mando 2022 Seg" sheetId="1" r:id="rId1"/>
  </sheets>
  <externalReferences>
    <externalReference r:id="rId2"/>
  </externalReferences>
  <definedNames>
    <definedName name="_xlnm._FilterDatabase" localSheetId="0" hidden="1">'Cuadro de Mando 2022 Seg'!$A$2:$Z$44</definedName>
    <definedName name="APLICACIÓN">'[1]Listas Nuevas'!$R$2:$R$4</definedName>
    <definedName name="_xlnm.Print_Area" localSheetId="0">'Cuadro de Mando 2022 Seg'!$A$1:$Z$44</definedName>
    <definedName name="CID">'[1]Listas Nuevas'!$AM$3:$AM$9</definedName>
    <definedName name="Contexto_Externo">'[1]Listas Nuevas'!$A$2:$A$8</definedName>
    <definedName name="Contexto_Interno">'[1]Listas Nuevas'!$B$2:$B$7</definedName>
    <definedName name="Contexto_Proceso">'[1]Listas Nuevas'!$C$2:$C$8</definedName>
    <definedName name="Control_Existente">[1]Listas!$F$3:$F$5</definedName>
    <definedName name="EJECUCIÓN">'[1]Listas Nuevas'!$T$2:$T$4</definedName>
    <definedName name="FRECUENCIA">'[1]Listas Nuevas'!$L$2:$L$6</definedName>
    <definedName name="PROCESO">'[1]Listas Nuevas'!$AR$3:$AR$23</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 name="_xlnm.Print_Titles" localSheetId="0">'Cuadro de Mando 2022 Seg'!$1:$2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43" i="1" l="1"/>
  <c r="O43" i="1"/>
  <c r="L43" i="1"/>
  <c r="S42" i="1"/>
  <c r="P42" i="1"/>
  <c r="M42" i="1"/>
  <c r="I42" i="1"/>
  <c r="J42" i="1" s="1"/>
  <c r="S41" i="1"/>
  <c r="P41" i="1"/>
  <c r="M41" i="1"/>
  <c r="I41" i="1"/>
  <c r="J41" i="1" s="1"/>
  <c r="S40" i="1"/>
  <c r="P40" i="1"/>
  <c r="M40" i="1"/>
  <c r="I40" i="1"/>
  <c r="J40" i="1" s="1"/>
  <c r="I39" i="1"/>
  <c r="I38" i="1"/>
  <c r="S37" i="1"/>
  <c r="P37" i="1"/>
  <c r="M37" i="1"/>
  <c r="I37" i="1"/>
  <c r="J37" i="1" s="1"/>
  <c r="I36" i="1"/>
  <c r="J35" i="1" s="1"/>
  <c r="S35" i="1"/>
  <c r="P35" i="1"/>
  <c r="M35" i="1"/>
  <c r="I34" i="1"/>
  <c r="S33" i="1"/>
  <c r="P33" i="1"/>
  <c r="M33" i="1"/>
  <c r="J33" i="1"/>
  <c r="I33" i="1"/>
  <c r="I32" i="1"/>
  <c r="I31" i="1"/>
  <c r="I30" i="1"/>
  <c r="I29" i="1"/>
  <c r="S28" i="1"/>
  <c r="P28" i="1"/>
  <c r="M28" i="1"/>
  <c r="I28" i="1"/>
  <c r="J28" i="1" s="1"/>
  <c r="I27" i="1"/>
  <c r="I26" i="1"/>
  <c r="I25" i="1"/>
  <c r="S24" i="1"/>
  <c r="P24" i="1"/>
  <c r="M24" i="1"/>
  <c r="I24" i="1"/>
  <c r="J24" i="1" s="1"/>
  <c r="I23" i="1"/>
  <c r="S22" i="1"/>
  <c r="P22" i="1"/>
  <c r="M22" i="1"/>
  <c r="I22" i="1"/>
  <c r="J22" i="1" s="1"/>
  <c r="I21" i="1"/>
  <c r="I20" i="1"/>
  <c r="I19" i="1"/>
  <c r="I18" i="1"/>
  <c r="I17" i="1"/>
  <c r="I16" i="1"/>
  <c r="S15" i="1"/>
  <c r="P15" i="1"/>
  <c r="M15" i="1"/>
  <c r="I15" i="1"/>
  <c r="J15" i="1" s="1"/>
  <c r="S13" i="1"/>
  <c r="P13" i="1"/>
  <c r="P43" i="1" s="1"/>
  <c r="M13" i="1"/>
  <c r="M43" i="1" s="1"/>
  <c r="I13" i="1"/>
  <c r="J13" i="1" s="1"/>
  <c r="I12" i="1"/>
  <c r="S11" i="1"/>
  <c r="P11" i="1"/>
  <c r="M11" i="1"/>
  <c r="J11" i="1"/>
  <c r="I10" i="1"/>
  <c r="I9" i="1"/>
  <c r="S8" i="1"/>
  <c r="P8" i="1"/>
  <c r="M8" i="1"/>
  <c r="I8" i="1"/>
  <c r="J8" i="1" s="1"/>
  <c r="I7" i="1"/>
  <c r="I6" i="1"/>
  <c r="I5" i="1"/>
  <c r="I4" i="1"/>
  <c r="I3" i="1" s="1"/>
  <c r="S3" i="1"/>
  <c r="S43" i="1" s="1"/>
  <c r="P3" i="1"/>
  <c r="M3" i="1"/>
  <c r="J3" i="1" l="1"/>
  <c r="J43" i="1" s="1"/>
  <c r="I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Fernando Arango Vargas</author>
  </authors>
  <commentList>
    <comment ref="D2" authorId="0" shapeId="0" xr:uid="{B0DF2F88-A06B-4C70-AE9D-01B9DB8D55C8}">
      <text>
        <r>
          <rPr>
            <sz val="9"/>
            <color indexed="81"/>
            <rFont val="Tahoma"/>
            <family val="2"/>
          </rPr>
          <t>Corresponde al líder del proceso</t>
        </r>
      </text>
    </comment>
  </commentList>
</comments>
</file>

<file path=xl/sharedStrings.xml><?xml version="1.0" encoding="utf-8"?>
<sst xmlns="http://schemas.openxmlformats.org/spreadsheetml/2006/main" count="418" uniqueCount="202">
  <si>
    <r>
      <t xml:space="preserve">Cuadro de Mando Indicadores 2022
</t>
    </r>
    <r>
      <rPr>
        <b/>
        <sz val="14"/>
        <color theme="0"/>
        <rFont val="Trebuchet MS"/>
        <family val="2"/>
      </rPr>
      <t>Departamento Administrativo de la Defensoría del Espacio Público - DADEP</t>
    </r>
  </si>
  <si>
    <t>Meta
2022</t>
  </si>
  <si>
    <t>Seguimiento Trimestral 2022</t>
  </si>
  <si>
    <t>Objetivo Estratégico
2020-2024</t>
  </si>
  <si>
    <t>Tipo</t>
  </si>
  <si>
    <t>Responsable del reporte</t>
  </si>
  <si>
    <t>Cod</t>
  </si>
  <si>
    <t>Indicador</t>
  </si>
  <si>
    <t>ENE-MAR</t>
  </si>
  <si>
    <t>Avance 1T Meta</t>
  </si>
  <si>
    <t>Avance 1T Proceso</t>
  </si>
  <si>
    <t>ABR-JUN</t>
  </si>
  <si>
    <t>Avance 2T Meta</t>
  </si>
  <si>
    <t>Avance 2T Proceso</t>
  </si>
  <si>
    <t>JUL-SEP</t>
  </si>
  <si>
    <t>Avance 3T Meta</t>
  </si>
  <si>
    <t>Avance 3T Proceso</t>
  </si>
  <si>
    <t>OCT-DIC</t>
  </si>
  <si>
    <t>Avance 4T Meta</t>
  </si>
  <si>
    <t>Avance 4T Proceso</t>
  </si>
  <si>
    <t>Observación</t>
  </si>
  <si>
    <t>Origen</t>
  </si>
  <si>
    <t>Meta PPD
2020-2024</t>
  </si>
  <si>
    <t>Cálculo</t>
  </si>
  <si>
    <t>Frecuencia</t>
  </si>
  <si>
    <t>4.Fortalecer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</si>
  <si>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I. PROCESOS ESTRATÉGICOS</t>
  </si>
  <si>
    <t>1. Direccionamiento Estratégico</t>
  </si>
  <si>
    <t>Jefe Oficina Asesora de Planeación</t>
  </si>
  <si>
    <t>Porcentaje de Avance de la Gestión de la Entidad</t>
  </si>
  <si>
    <t>(2626,53%/37)*100% = 70,99%</t>
  </si>
  <si>
    <t>Gestión</t>
  </si>
  <si>
    <t>No aplica</t>
  </si>
  <si>
    <t>Creciente</t>
  </si>
  <si>
    <t>(Sumatoria de los porcentajes de avance de las meta por periodo / # total de metas evaluadas) * 100%</t>
  </si>
  <si>
    <t>Eficiencia</t>
  </si>
  <si>
    <t>Trimestral</t>
  </si>
  <si>
    <t>Porcentaje de cumplimiento del Plan De Sostenibilidad De Ming</t>
  </si>
  <si>
    <t>(34%*(7/20))+(33%*(2/20))+(21,3%*(4/20))+(25%*(5/20))+(12%*(2/20)) = 26,9%</t>
  </si>
  <si>
    <t>Sumatoria de ((Porcentaje de avance por componente * (Número de actividades por componente / Número total de actividades del plan))</t>
  </si>
  <si>
    <t>Eficacia</t>
  </si>
  <si>
    <t>3.Mejorar la coordinación interinstitucional con todas las entidades que tienen competencia en materia de espacio público, así como la comunicación con los grupos de interés y de valor.</t>
  </si>
  <si>
    <t>Porcentaje de Acciones Desarrolladas Incluidas En El PAAC</t>
  </si>
  <si>
    <t>(12/21)*100% = 57,14%</t>
  </si>
  <si>
    <t>Constante</t>
  </si>
  <si>
    <t>(Nº de  acciones realizadas / Nº total de seguimientos y/o actividades programadas) x 100%</t>
  </si>
  <si>
    <t>Cuatrimestral</t>
  </si>
  <si>
    <t>Porcentaje de documentación actualizada en la web relacionada con la Ley de Transparencia</t>
  </si>
  <si>
    <t>(75/75)*100% = 100,00%</t>
  </si>
  <si>
    <t>(N° de documentos o información existente de ley de transparencia en la web / No. de documentos o información requeridos por la ley de transparencia en la web) * 100%</t>
  </si>
  <si>
    <t>Comunicaciones</t>
  </si>
  <si>
    <t>Porcentaje de interacciones entre los seguidores y el contenido de la página.</t>
  </si>
  <si>
    <t>100%
(Crecimiento Anual 60% y mensual del 5%)</t>
  </si>
  <si>
    <t>((5,59%+6,59%+4,6%)/15%)*100% = 111,87%</t>
  </si>
  <si>
    <t>Engagement (Porcentaje del nivel de interacción de las publicaciones institucionales, obtenido del  sistema de métricas obtenida de las redes sociales Facebook, Twitter e Instagram.) / Meta de crecimiento para el periodo * 100%</t>
  </si>
  <si>
    <t>2. Atención a la Ciudadanía</t>
  </si>
  <si>
    <t>Subdirectora Administrativa, Financiera y de Control Disciplinario -SAF</t>
  </si>
  <si>
    <t>Oportunidad de las respuestas a las peticiones ciudadanos en los términos de ley - Sistema Distrital para la gestión de peticiones ciudadanas -Bogotá te Escucha</t>
  </si>
  <si>
    <t xml:space="preserve">(1067/1068)*100% = 99.91%
</t>
  </si>
  <si>
    <t>(N° de derechos de petición contestados dentro de los términos legales/ N° derechos de petición asignados) * 100%</t>
  </si>
  <si>
    <t>Percepción De Los Ciudadanos Acerca De La Atención Recibida En Los Módulos</t>
  </si>
  <si>
    <t>(40/40)*100% =100%</t>
  </si>
  <si>
    <t>Número total de preguntas de percepción o de satisfacción respondidas por los ciudadanos diligenciadas con nivel excelente / Número total de preguntas de percepción o de satisfacción respondidas por los ciudadano en el periodo) * 100%</t>
  </si>
  <si>
    <t>Efectividad</t>
  </si>
  <si>
    <t>Satisfacción De Los Ciudadanos Respecto De Las Respuestas Emitidas</t>
  </si>
  <si>
    <t>(77/80)*100% =96,25%</t>
  </si>
  <si>
    <t>1. Contribuir al incremento del uso, goce y disfrute del patrimonio inmobiliario distrital y el espacio público, con acceso universal a la ciudadanía.</t>
  </si>
  <si>
    <t>3. Administración y gestión del Observatorio y la Política de Espacio Público</t>
  </si>
  <si>
    <t>Subdirector de Registro Inmobiliario - SRI</t>
  </si>
  <si>
    <t>Documentos de Investigación derivados De La Batería De Indicadores De La Política Pública Distrital De Espacio Público Y El Observatorio De Espacio Público</t>
  </si>
  <si>
    <t>Número de documentos de Investigación derivados De La Batería De Indicadores De La Política Pública Distrital De Espacio Público Y El Observatorio De Espacio Público</t>
  </si>
  <si>
    <t>Porcentaje de acciones realizadas de la política pública de espacio público.</t>
  </si>
  <si>
    <t>(0,61/7) * 100% = 8,7%</t>
  </si>
  <si>
    <t>(Número de acciones realizadas / Número de acciones programadas) x 100%</t>
  </si>
  <si>
    <t>2.Aumentar  la oferta cuantitativa, cualitativa y la equidad territorial del patrimonio inmobiliario distrital y el espacio público.</t>
  </si>
  <si>
    <t>II. PROCESOS MISIONALES</t>
  </si>
  <si>
    <t>4. Inventario General de Espacio Público y Bienes Fiscales</t>
  </si>
  <si>
    <t>Metros cuadrados recibos de zonas de cesión al Distrito Capital.</t>
  </si>
  <si>
    <t>150.000 M2</t>
  </si>
  <si>
    <t>(50911,02 / 150000) = 33.94%</t>
  </si>
  <si>
    <t>Este es un indicador presentado por urbanizadores y constructores.</t>
  </si>
  <si>
    <t>Suma de los metros cuadrados  de recibos de las zonas de cesión al Distrito Capital.</t>
  </si>
  <si>
    <t>Base 239.682 M2 2021 recibidos</t>
  </si>
  <si>
    <t>Predios de uso público con metodología de valoración contable.</t>
  </si>
  <si>
    <t>No aplica para este periodo de medición</t>
  </si>
  <si>
    <t>Suma de  predios de uso público con  metodología de valoración contable</t>
  </si>
  <si>
    <t>Semestral</t>
  </si>
  <si>
    <t>Base 223 de 2021</t>
  </si>
  <si>
    <t>1.Contribuir al incremento del uso, goce y disfrute del patrimonio inmobiliario distrital y el espacio público, con acceso universal a la ciudadanía.</t>
  </si>
  <si>
    <t>5. Administración del  Patrimonio Inmobiliario Distrital</t>
  </si>
  <si>
    <t>Subdirector de Administración Inmobiliaria - SAI</t>
  </si>
  <si>
    <t>Porcentaje de Bienes de Uso Público y Fiscal entregados en administración</t>
  </si>
  <si>
    <t>(11/79)*100% = 13,92%</t>
  </si>
  <si>
    <t>(Bienes de uso público y fiscal entregados / Bienes de uso Público y fiscal tramitados) * 100%</t>
  </si>
  <si>
    <t>Porcentaje de activaciones urbanas para incrementar la participación y apropiación del espacio público</t>
  </si>
  <si>
    <t>(0/4)*100% = 0%</t>
  </si>
  <si>
    <t>(Número de activaciones urbanas ejecutadas / Número de activaciones urbanas programadas) * 100%</t>
  </si>
  <si>
    <t>OK continua</t>
  </si>
  <si>
    <t>ADM</t>
  </si>
  <si>
    <t>Porcentaje de APP tramitadas.</t>
  </si>
  <si>
    <t>(0/0)*100% = 0% (a demanda) = 100%</t>
  </si>
  <si>
    <t>Este es un indicador a demanda</t>
  </si>
  <si>
    <t>(Número de APP tramitadas / Número de APP solicitadas) * 100%</t>
  </si>
  <si>
    <t>Porcentaje de autorizaciones de uso tramitadas.</t>
  </si>
  <si>
    <t>(Número de autorizaciones de uso tramitadas / Número de autorizaciones de uso solicitadas) * 100%</t>
  </si>
  <si>
    <t>Porcentaje de DEMOS tramitados.</t>
  </si>
  <si>
    <t>(1/1)*100% = 100%</t>
  </si>
  <si>
    <t>(Número de DEMOS tramitados / Número de DEMOS solicitados) * 100%</t>
  </si>
  <si>
    <t>Porcentaje Bienes Fiscales enajenados.</t>
  </si>
  <si>
    <t>(Número de bienes enajenados / Número de bienes ofertados para la enajenación) * 100%</t>
  </si>
  <si>
    <t>Porcentaje de informes de supervisión presentados y revisados de bienes fiscales</t>
  </si>
  <si>
    <t>(0/0)*100% = 0% = 100%</t>
  </si>
  <si>
    <t>(Número de informes presentados y revisados de bienes fiscales / Número de contratos vigentes obligados a presentar informe de ejecución de bienes fiscales) / * 100%</t>
  </si>
  <si>
    <t>6. Defensa del  Patrimonio Inmobiliario Distrital</t>
  </si>
  <si>
    <t>Porcentaje de diagnósticos elaborados del Patrimonio Inmobiliario Distrital administrado a Cargo del DADEP</t>
  </si>
  <si>
    <t>(197/1120)*100% = 17,59%</t>
  </si>
  <si>
    <t>Diagnósticos elaborados o actualizados / Diagnósticos programados o requeridos</t>
  </si>
  <si>
    <t>Porcentaje de metros cuadrados de espacio público recuperado</t>
  </si>
  <si>
    <t>(65938,34/200000)*100% = 32,97%</t>
  </si>
  <si>
    <t>Número de metros cuadrados recuperados / Número de metros cuadrados programados</t>
  </si>
  <si>
    <t>III. PROCESOS DE SOPORTE</t>
  </si>
  <si>
    <t>7. Gestión de la Tecnología y la Información</t>
  </si>
  <si>
    <t>Jefe Oficina de Sistemas -  OS</t>
  </si>
  <si>
    <t>Porcentaje de Cumplimiento Hitos Claves</t>
  </si>
  <si>
    <t>(4/4)*100% = 100%</t>
  </si>
  <si>
    <t>(Hitos Cumplidos / Hitos Planeados) * 100</t>
  </si>
  <si>
    <t>Porcentaje de Desarrollos Informáticos Adquiridos o Actualizado</t>
  </si>
  <si>
    <t>(0,4979/1)*100% = 50%</t>
  </si>
  <si>
    <t>(Desarrollos Informáticos Adquiridos o Actualizados / Desarrollo Informáticos Programados) * 100</t>
  </si>
  <si>
    <t>Porcentaje de solicitudes de los usuarios, registradas y resueltas</t>
  </si>
  <si>
    <t>(2046/2071)*100% = 98,79%</t>
  </si>
  <si>
    <t>(Número de solicitudes de los usuarios, registradas y resueltas / Número de solicitudes realizadas) * 100</t>
  </si>
  <si>
    <t>Porcentaje de Información y documentos disponibles y protegidos (Back-Up)</t>
  </si>
  <si>
    <t>(300/300)*100% = 100%</t>
  </si>
  <si>
    <t>(Número de Información y documentos disponibles y protegidos (Back-Up) / Número de Información y documentos) * 100</t>
  </si>
  <si>
    <t>8. Gestión Jurídica</t>
  </si>
  <si>
    <t>Jefe Oficina Asesora Jurídica - OAJ</t>
  </si>
  <si>
    <t>Porcentaje de Conciliaciones Analizadas</t>
  </si>
  <si>
    <t>(3/3)*100% = 100%</t>
  </si>
  <si>
    <t>(Número de solicitudes de conciliación analizadas en el Comité de Conciliación / Número de solicitudes de conciliación) * 100%</t>
  </si>
  <si>
    <t>Porcentaje de Informes de seguimiento Judicial Presentados</t>
  </si>
  <si>
    <t>(Número de informes de seguimiento de los procesos judiciales presentados en el periodo/Número de procesos judiciales asignados a los abogados) * 100</t>
  </si>
  <si>
    <t>Porcentaje respuesta oportuna de las acciones de tutela notificadas a la Oficina Asesora Jurídica</t>
  </si>
  <si>
    <t>(24/24)*100% = 100%</t>
  </si>
  <si>
    <t>(Número de Acciones de Tutela contestadas en el término dado por el Despacho Judicial /  Número de Acciones de Tutela notificadas a la OAJ) * 100</t>
  </si>
  <si>
    <t>Promedio de Contratos de prestación de servicio y de apoyo a la gestión  que cumplieron el promedio de días establecidos de suscripción</t>
  </si>
  <si>
    <t>(220/339)*100% = 64,9%</t>
  </si>
  <si>
    <t>(Número de contratos de prestación de servicios y de apoyo a la gestión suscritos en el promedio de días establecido / Número de contratos suscritos en el periodo)</t>
  </si>
  <si>
    <t>Porcentaje de procesos de selección gestionados</t>
  </si>
  <si>
    <t>(2/10)*100% = 100%</t>
  </si>
  <si>
    <t>(Número de procesos adjudicados + declarados desiertos + aceptación de oferta + no aceptación de oferta / Número de solicitudes de contratación por proceso de selección) * 100</t>
  </si>
  <si>
    <t>9. Gestión de Talento Humano</t>
  </si>
  <si>
    <t>Porcentaje de cumplimiento de  las actividades propuestas  en el Plan Estratégico de TH - PETH</t>
  </si>
  <si>
    <t>(33%/100)*100=33%</t>
  </si>
  <si>
    <t>La sumatoria del avance de los 6 planes que corresponden al Plan Estratégico de Talento Humano es del 33%</t>
  </si>
  <si>
    <t>(Sumatoria de avance de los que componen el Plan Estratégico de TH ejecutados / Sumatoria del porcentaje de avance programado de cada uno de los planes) * 100</t>
  </si>
  <si>
    <t>Porcentaje de cumplimiento del Plan de Trabajo del SG_SST</t>
  </si>
  <si>
    <t>(38/52)*100%= 73,08%</t>
  </si>
  <si>
    <t xml:space="preserve">(Actividades ejecutadas / Actividades Propuestas) * 100 </t>
  </si>
  <si>
    <t>10. Gestión Documental</t>
  </si>
  <si>
    <t>Porcentaje de Transferencias documentales primarias legalizadas</t>
  </si>
  <si>
    <t>De acuerdo con el cronograma establecido en el PINAR, esta actividad se programó para iniciar el mes de abril.</t>
  </si>
  <si>
    <t xml:space="preserve">(No. De transferencias documentales primarias  entregadas de acuerdo al cronograma / No. De dependencias programadas) * 100% </t>
  </si>
  <si>
    <t xml:space="preserve">Porcentaje de actividades realizadas del PINAR </t>
  </si>
  <si>
    <t>(710% /25) *100% = 28,4%</t>
  </si>
  <si>
    <t>(Sumatoria del porcentaje de las actividades ejecutadas / No. Actividades programadas del PINAR) * 100%</t>
  </si>
  <si>
    <t>11. Gestión de Recursos</t>
  </si>
  <si>
    <t>Porcentaje De Ejecución Presupuestal</t>
  </si>
  <si>
    <t>(22.876.798.368 / 38.865.190.000) * 100%  = 58,86 %</t>
  </si>
  <si>
    <t>(Valor de compromisos / Presupuesto total asignado a la entidad (con sus modificaciones)) * 100%</t>
  </si>
  <si>
    <t>Porcentaje de avance del Plan de Gestión Ambiental de la entidad</t>
  </si>
  <si>
    <t xml:space="preserve"> (10%+3.5%+3.5%+3.5%+5%)/ (40%+15%+15%+15%+15%) * 100 
=(25,5/100) *100%
=25.5%</t>
  </si>
  <si>
    <t>El peso asignado a los planes es: 
PIGA: 40%
PAI: 15%
RESPEL: 15%
PIMs: 15% y
PACA: 15%</t>
  </si>
  <si>
    <t>(Sumatoria de avance de los Planes de Gestión Ambiental ejecutados / Sumatoria del porcentaje de avance programado de cada uno de los planes) * 100%</t>
  </si>
  <si>
    <t>Porcentaje de generación de registro contable de la propiedad inmobiliaria del Distrito con valoración contable.</t>
  </si>
  <si>
    <t>(150/150)*100%=100%</t>
  </si>
  <si>
    <t>(Número de predios contabilizados en los estados financiero / Número de predios con valoración contable para incluir en los estados financiero) * 100%</t>
  </si>
  <si>
    <t>IV. PROCESOS DE VERIFICACIÓN Y MEJORA</t>
  </si>
  <si>
    <t>12. Evaluación y Control</t>
  </si>
  <si>
    <t>Jefe Oficina de Control Interno OCI</t>
  </si>
  <si>
    <t>Porcentaje de cumplimiento del Plan Anual de Auditorías</t>
  </si>
  <si>
    <t>(17/17)*100% = 100%</t>
  </si>
  <si>
    <t>(Nº de auditorías efectuadas / Nº total de auditorías proyectadas en el PAA para la vigencia) * 100%</t>
  </si>
  <si>
    <t>13. Verificación y Mejoramiento Continuo</t>
  </si>
  <si>
    <t>Jefe Oficina Asesora de Planeación - OAP</t>
  </si>
  <si>
    <t>Monitoreo a las acciones del plan de mejoramiento institucional en el CPM</t>
  </si>
  <si>
    <t>(8/8)*100% = 100%</t>
  </si>
  <si>
    <t>(Acciones finalizadas en el aplicativo CPM en el periodo a reportar/ Acciones creadas dentro del aplicativo CPM con fecha de vencimiento en el periodo a reportar) x 100%</t>
  </si>
  <si>
    <t>14. Control Interno Disciplinario</t>
  </si>
  <si>
    <t>Porcentaje de avance de las procesos disciplinarios que cursan en el DADEP</t>
  </si>
  <si>
    <t>(3/3)*100%=100%</t>
  </si>
  <si>
    <t>Durante el primer trimestre se han recibido 3 quejas, las cuales fueron debidamente tramitadas en su totalidad 3 /3 * 100</t>
  </si>
  <si>
    <t>(Número de quejas tramitadas: Sumatoria de quejas tramitadas / Total quejas recibidas) X 100%</t>
  </si>
  <si>
    <t>Mensual</t>
  </si>
  <si>
    <t>Total Avance</t>
  </si>
  <si>
    <t>Elaborado:</t>
  </si>
  <si>
    <t>Alexander Oliveros Paredes - Contratistas OAP</t>
  </si>
  <si>
    <t>01 de Enero de 2022</t>
  </si>
  <si>
    <t>Revisado:</t>
  </si>
  <si>
    <t>Luis Fernando Arango - Profesional OAP</t>
  </si>
  <si>
    <t>Aprobado:</t>
  </si>
  <si>
    <t>Diana María Camargo Pulido - Jefe 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</si>
</sst>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5" x14ac:knownFonts="1">
    <font>
      <sz val="11"/>
      <color theme="1"/>
      <name val="Calibri"/>
      <family val="2"/>
      <scheme val="minor"/>
    </font>
    <font>
      <sz val="11"/>
      <color theme="1"/>
      <name val="Calibri"/>
      <family val="2"/>
      <scheme val="minor"/>
    </font>
    <font>
      <b/>
      <sz val="24"/>
      <color theme="0"/>
      <name val="Trebuchet MS"/>
      <family val="2"/>
    </font>
    <font>
      <b/>
      <sz val="14"/>
      <color theme="0"/>
      <name val="Trebuchet MS"/>
      <family val="2"/>
    </font>
    <font>
      <b/>
      <sz val="16"/>
      <color theme="0"/>
      <name val="Museo Sans Condensed"/>
    </font>
    <font>
      <b/>
      <sz val="26"/>
      <color rgb="FFFF0000"/>
      <name val="Museo Sans Condensed"/>
    </font>
    <font>
      <sz val="11"/>
      <color theme="1"/>
      <name val="Trebuchet MS"/>
      <family val="2"/>
    </font>
    <font>
      <b/>
      <sz val="10"/>
      <color theme="0"/>
      <name val="Museo Sans Condensed"/>
    </font>
    <font>
      <b/>
      <sz val="8"/>
      <color theme="1"/>
      <name val="Trebuchet MS"/>
      <family val="2"/>
    </font>
    <font>
      <sz val="10"/>
      <name val="Museo Sans Condensed"/>
    </font>
    <font>
      <b/>
      <sz val="14"/>
      <color theme="0"/>
      <name val="Museo Sans Condensed"/>
    </font>
    <font>
      <b/>
      <sz val="12"/>
      <color theme="0"/>
      <name val="Museo Sans Condensed"/>
    </font>
    <font>
      <sz val="10"/>
      <color theme="1"/>
      <name val="Museo Sans Condensed"/>
    </font>
    <font>
      <b/>
      <sz val="10"/>
      <color theme="1"/>
      <name val="Museo Sans Condensed"/>
    </font>
    <font>
      <b/>
      <sz val="10"/>
      <name val="Museo Sans Condensed"/>
    </font>
    <font>
      <b/>
      <sz val="10"/>
      <color rgb="FF000000"/>
      <name val="Museo Sans Condensed"/>
    </font>
    <font>
      <sz val="10"/>
      <color rgb="FF000000"/>
      <name val="Museo Sans Condensed"/>
    </font>
    <font>
      <b/>
      <sz val="10"/>
      <color rgb="FFFF0000"/>
      <name val="Museo Sans Condensed"/>
    </font>
    <font>
      <sz val="11"/>
      <name val="Trebuchet MS"/>
      <family val="2"/>
    </font>
    <font>
      <sz val="10"/>
      <color rgb="FFFF0000"/>
      <name val="Museo Sans Condensed"/>
    </font>
    <font>
      <b/>
      <sz val="11"/>
      <color theme="1"/>
      <name val="Trebuchet MS"/>
      <family val="2"/>
    </font>
    <font>
      <sz val="9"/>
      <color theme="1"/>
      <name val="Trebuchet MS"/>
      <family val="2"/>
    </font>
    <font>
      <sz val="10"/>
      <color theme="1"/>
      <name val="Trebuchet MS"/>
      <family val="2"/>
    </font>
    <font>
      <b/>
      <sz val="9"/>
      <color theme="1"/>
      <name val="Trebuchet MS"/>
      <family val="2"/>
    </font>
    <font>
      <sz val="9"/>
      <color indexed="81"/>
      <name val="Tahoma"/>
      <family val="2"/>
    </font>
  </fonts>
  <fills count="15">
    <fill>
      <patternFill patternType="none"/>
    </fill>
    <fill>
      <patternFill patternType="gray125"/>
    </fill>
    <fill>
      <patternFill patternType="solid">
        <fgColor rgb="FFC00000"/>
        <bgColor indexed="64"/>
      </patternFill>
    </fill>
    <fill>
      <patternFill patternType="solid">
        <fgColor rgb="FFC00000"/>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E2EFDA"/>
        <bgColor rgb="FF000000"/>
      </patternFill>
    </fill>
    <fill>
      <patternFill patternType="solid">
        <fgColor rgb="FFC6E0B4"/>
        <bgColor rgb="FF000000"/>
      </patternFill>
    </fill>
    <fill>
      <patternFill patternType="solid">
        <fgColor rgb="FFFF5050"/>
        <bgColor indexed="64"/>
      </patternFill>
    </fill>
    <fill>
      <patternFill patternType="solid">
        <fgColor rgb="FFFFC000"/>
        <bgColor indexed="64"/>
      </patternFill>
    </fill>
    <fill>
      <patternFill patternType="solid">
        <fgColor theme="0"/>
        <bgColor indexed="64"/>
      </patternFill>
    </fill>
    <fill>
      <patternFill patternType="solid">
        <fgColor theme="0"/>
        <bgColor rgb="FF000000"/>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0" xfId="0" applyFont="1"/>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applyAlignment="1">
      <alignment horizontal="center"/>
    </xf>
    <xf numFmtId="0" fontId="9" fillId="4" borderId="1" xfId="0" applyFont="1" applyFill="1" applyBorder="1" applyAlignment="1">
      <alignment horizontal="center" vertical="center" wrapText="1"/>
    </xf>
    <xf numFmtId="0" fontId="10" fillId="2" borderId="5" xfId="0" applyFont="1" applyFill="1" applyBorder="1" applyAlignment="1">
      <alignment horizontal="center" vertical="center" textRotation="90" wrapText="1"/>
    </xf>
    <xf numFmtId="0" fontId="11" fillId="2" borderId="1" xfId="0" applyFont="1" applyFill="1" applyBorder="1" applyAlignment="1">
      <alignment horizontal="center" vertical="center" wrapText="1"/>
    </xf>
    <xf numFmtId="0" fontId="12" fillId="0" borderId="5" xfId="0" applyFont="1" applyBorder="1" applyAlignment="1">
      <alignment horizontal="center" vertical="center" wrapText="1"/>
    </xf>
    <xf numFmtId="0" fontId="13" fillId="5" borderId="1" xfId="0" applyFont="1" applyFill="1" applyBorder="1" applyAlignment="1">
      <alignment horizontal="center" vertical="center" wrapText="1"/>
    </xf>
    <xf numFmtId="0" fontId="14" fillId="6" borderId="1" xfId="0" applyFont="1" applyFill="1" applyBorder="1" applyAlignment="1">
      <alignment vertical="center" wrapText="1"/>
    </xf>
    <xf numFmtId="9" fontId="13" fillId="7" borderId="1" xfId="0" applyNumberFormat="1" applyFont="1" applyFill="1" applyBorder="1" applyAlignment="1">
      <alignment horizontal="center" vertical="center" wrapText="1"/>
    </xf>
    <xf numFmtId="9" fontId="13" fillId="0" borderId="1" xfId="3" applyFont="1" applyFill="1" applyBorder="1" applyAlignment="1">
      <alignment horizontal="center" vertical="center" wrapText="1"/>
    </xf>
    <xf numFmtId="10" fontId="13" fillId="0" borderId="1" xfId="3" applyNumberFormat="1" applyFont="1" applyFill="1" applyBorder="1" applyAlignment="1">
      <alignment horizontal="center" vertical="center" wrapText="1"/>
    </xf>
    <xf numFmtId="9" fontId="13" fillId="0" borderId="5" xfId="3"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12" fillId="0" borderId="1" xfId="0" applyFont="1" applyBorder="1" applyAlignment="1">
      <alignment horizontal="justify" vertical="center" wrapText="1"/>
    </xf>
    <xf numFmtId="0" fontId="10" fillId="2" borderId="6" xfId="0" applyFont="1" applyFill="1" applyBorder="1" applyAlignment="1">
      <alignment horizontal="center" vertical="center" textRotation="90" wrapText="1"/>
    </xf>
    <xf numFmtId="0" fontId="12" fillId="0" borderId="6" xfId="0" applyFont="1" applyBorder="1" applyAlignment="1">
      <alignment horizontal="center" vertical="center" wrapText="1"/>
    </xf>
    <xf numFmtId="10" fontId="13" fillId="0" borderId="1" xfId="0" applyNumberFormat="1" applyFont="1" applyBorder="1" applyAlignment="1">
      <alignment horizontal="center" vertical="center" wrapText="1"/>
    </xf>
    <xf numFmtId="9" fontId="13" fillId="0" borderId="6" xfId="3" applyFont="1" applyFill="1" applyBorder="1" applyAlignment="1">
      <alignment horizontal="center" vertical="center" wrapText="1"/>
    </xf>
    <xf numFmtId="0" fontId="14" fillId="6" borderId="1" xfId="0" applyFont="1" applyFill="1" applyBorder="1" applyAlignment="1">
      <alignment horizontal="justify"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9" fontId="13" fillId="0" borderId="7" xfId="3" applyFont="1" applyFill="1" applyBorder="1" applyAlignment="1">
      <alignment horizontal="center" vertical="center" wrapText="1"/>
    </xf>
    <xf numFmtId="0" fontId="12" fillId="0" borderId="1" xfId="0" applyFont="1" applyBorder="1" applyAlignment="1">
      <alignment horizontal="center" vertical="center" wrapText="1"/>
    </xf>
    <xf numFmtId="9" fontId="14" fillId="7" borderId="1" xfId="0" applyNumberFormat="1" applyFont="1" applyFill="1" applyBorder="1" applyAlignment="1">
      <alignment horizontal="center" vertical="center" wrapText="1"/>
    </xf>
    <xf numFmtId="10" fontId="13" fillId="0" borderId="5"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14" fillId="8" borderId="1" xfId="0" applyFont="1" applyFill="1" applyBorder="1" applyAlignment="1">
      <alignment horizontal="justify" vertical="center" wrapText="1"/>
    </xf>
    <xf numFmtId="9" fontId="14" fillId="9" borderId="1" xfId="0" applyNumberFormat="1" applyFont="1" applyFill="1" applyBorder="1" applyAlignment="1">
      <alignment horizontal="center" vertical="center" wrapText="1"/>
    </xf>
    <xf numFmtId="10" fontId="13" fillId="0" borderId="6"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9" fontId="13" fillId="0" borderId="1" xfId="0" applyNumberFormat="1" applyFont="1" applyBorder="1" applyAlignment="1">
      <alignment horizontal="center" vertical="center" wrapText="1"/>
    </xf>
    <xf numFmtId="10" fontId="13" fillId="0" borderId="7" xfId="0" applyNumberFormat="1" applyFont="1" applyBorder="1" applyAlignment="1">
      <alignment horizontal="center" vertical="center" wrapText="1"/>
    </xf>
    <xf numFmtId="0" fontId="12" fillId="4"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3" fillId="7" borderId="1" xfId="1" applyNumberFormat="1" applyFont="1" applyFill="1" applyBorder="1" applyAlignment="1">
      <alignment horizontal="center" vertical="center" wrapText="1"/>
    </xf>
    <xf numFmtId="10" fontId="13" fillId="0" borderId="1" xfId="3" applyNumberFormat="1" applyFont="1" applyBorder="1" applyAlignment="1">
      <alignment horizontal="center" vertical="center" wrapText="1"/>
    </xf>
    <xf numFmtId="10" fontId="13" fillId="0" borderId="5" xfId="3" applyNumberFormat="1" applyFont="1" applyBorder="1" applyAlignment="1">
      <alignment horizontal="center" vertical="center" wrapText="1"/>
    </xf>
    <xf numFmtId="0" fontId="17" fillId="0" borderId="1" xfId="0" applyFont="1" applyBorder="1" applyAlignment="1">
      <alignment horizontal="left" vertical="center" wrapText="1"/>
    </xf>
    <xf numFmtId="0" fontId="12" fillId="4" borderId="7" xfId="0" applyFont="1" applyFill="1" applyBorder="1" applyAlignment="1">
      <alignment horizontal="center" vertical="center" wrapText="1"/>
    </xf>
    <xf numFmtId="0" fontId="10" fillId="2" borderId="7" xfId="0" applyFont="1" applyFill="1" applyBorder="1" applyAlignment="1">
      <alignment horizontal="center" vertical="center" textRotation="90" wrapText="1"/>
    </xf>
    <xf numFmtId="0" fontId="11" fillId="2" borderId="7" xfId="0" applyFont="1" applyFill="1" applyBorder="1" applyAlignment="1">
      <alignment horizontal="center" vertical="center" wrapText="1"/>
    </xf>
    <xf numFmtId="9" fontId="13" fillId="7" borderId="1" xfId="1" applyNumberFormat="1" applyFont="1" applyFill="1" applyBorder="1" applyAlignment="1">
      <alignment horizontal="center" vertical="center" wrapText="1"/>
    </xf>
    <xf numFmtId="164" fontId="13" fillId="0" borderId="1" xfId="3" applyNumberFormat="1" applyFont="1" applyFill="1" applyBorder="1" applyAlignment="1">
      <alignment horizontal="center" vertical="center" wrapText="1"/>
    </xf>
    <xf numFmtId="10" fontId="13" fillId="0" borderId="7" xfId="3" applyNumberFormat="1" applyFont="1" applyBorder="1" applyAlignment="1">
      <alignment horizontal="center" vertical="center" wrapText="1"/>
    </xf>
    <xf numFmtId="0" fontId="13" fillId="0" borderId="1" xfId="0" applyFont="1" applyBorder="1" applyAlignment="1">
      <alignment horizontal="left" vertical="center" wrapText="1"/>
    </xf>
    <xf numFmtId="0" fontId="12" fillId="4" borderId="1" xfId="0" applyFont="1" applyFill="1" applyBorder="1" applyAlignment="1">
      <alignment horizontal="center" vertical="center" wrapText="1"/>
    </xf>
    <xf numFmtId="0" fontId="10" fillId="10" borderId="1" xfId="0" applyFont="1" applyFill="1" applyBorder="1" applyAlignment="1">
      <alignment horizontal="center" vertical="center" textRotation="90" wrapText="1"/>
    </xf>
    <xf numFmtId="0" fontId="11" fillId="10" borderId="1" xfId="0" applyFont="1" applyFill="1" applyBorder="1" applyAlignment="1">
      <alignment horizontal="center" vertical="center" wrapText="1"/>
    </xf>
    <xf numFmtId="3" fontId="14" fillId="7" borderId="1" xfId="2" applyNumberFormat="1" applyFont="1" applyFill="1" applyBorder="1" applyAlignment="1">
      <alignment horizontal="center" vertical="center" wrapText="1"/>
    </xf>
    <xf numFmtId="4" fontId="14" fillId="0" borderId="1" xfId="2" applyNumberFormat="1" applyFont="1" applyFill="1" applyBorder="1" applyAlignment="1">
      <alignment horizontal="center" vertical="center" wrapText="1"/>
    </xf>
    <xf numFmtId="10" fontId="14" fillId="0" borderId="1" xfId="3" applyNumberFormat="1" applyFont="1" applyFill="1" applyBorder="1" applyAlignment="1">
      <alignment horizontal="center" vertical="center" wrapText="1"/>
    </xf>
    <xf numFmtId="10" fontId="14" fillId="0" borderId="5" xfId="3" applyNumberFormat="1"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0" fontId="14" fillId="0" borderId="7" xfId="3" applyNumberFormat="1" applyFont="1" applyFill="1" applyBorder="1" applyAlignment="1">
      <alignment horizontal="center" vertical="center" wrapText="1"/>
    </xf>
    <xf numFmtId="10"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2" fillId="4" borderId="5" xfId="0" applyFont="1" applyFill="1" applyBorder="1" applyAlignment="1">
      <alignment horizontal="center" vertical="center" wrapText="1"/>
    </xf>
    <xf numFmtId="0" fontId="10" fillId="11" borderId="1" xfId="0" applyFont="1" applyFill="1" applyBorder="1" applyAlignment="1">
      <alignment horizontal="center" vertical="center" textRotation="90" wrapText="1"/>
    </xf>
    <xf numFmtId="0" fontId="11" fillId="11" borderId="1" xfId="0" applyFont="1" applyFill="1" applyBorder="1" applyAlignment="1">
      <alignment horizontal="center" vertical="center" wrapText="1"/>
    </xf>
    <xf numFmtId="9" fontId="13" fillId="0" borderId="1" xfId="3" applyFont="1" applyBorder="1" applyAlignment="1">
      <alignment horizontal="center" vertical="center" wrapText="1"/>
    </xf>
    <xf numFmtId="10" fontId="13" fillId="0" borderId="6" xfId="3" applyNumberFormat="1" applyFont="1" applyBorder="1" applyAlignment="1">
      <alignment horizontal="center" vertical="center" wrapText="1"/>
    </xf>
    <xf numFmtId="10" fontId="14" fillId="0" borderId="5"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0" fontId="14" fillId="0" borderId="6" xfId="0" applyNumberFormat="1" applyFont="1" applyBorder="1" applyAlignment="1">
      <alignment horizontal="center" vertical="center" wrapText="1"/>
    </xf>
    <xf numFmtId="9" fontId="14" fillId="7" borderId="1" xfId="2" applyNumberFormat="1" applyFont="1" applyFill="1" applyBorder="1" applyAlignment="1">
      <alignment horizontal="center" vertical="center" wrapText="1"/>
    </xf>
    <xf numFmtId="0" fontId="18" fillId="0" borderId="0" xfId="0" applyFont="1"/>
    <xf numFmtId="10" fontId="14" fillId="0" borderId="7" xfId="0" applyNumberFormat="1" applyFont="1" applyBorder="1" applyAlignment="1">
      <alignment horizontal="center" vertical="center" wrapText="1"/>
    </xf>
    <xf numFmtId="0" fontId="11" fillId="11" borderId="5" xfId="0" applyFont="1" applyFill="1" applyBorder="1" applyAlignment="1">
      <alignment horizontal="center" vertical="center" wrapText="1"/>
    </xf>
    <xf numFmtId="10" fontId="13" fillId="12" borderId="1" xfId="0" applyNumberFormat="1" applyFont="1" applyFill="1" applyBorder="1" applyAlignment="1">
      <alignment horizontal="center" vertical="center" wrapText="1"/>
    </xf>
    <xf numFmtId="10" fontId="13" fillId="12" borderId="5" xfId="0" applyNumberFormat="1" applyFont="1" applyFill="1" applyBorder="1" applyAlignment="1">
      <alignment horizontal="center" vertical="center" wrapText="1"/>
    </xf>
    <xf numFmtId="10" fontId="13" fillId="0" borderId="1" xfId="0" applyNumberFormat="1" applyFont="1" applyBorder="1" applyAlignment="1">
      <alignment vertical="center" wrapText="1"/>
    </xf>
    <xf numFmtId="10" fontId="14" fillId="0" borderId="1" xfId="0" applyNumberFormat="1" applyFont="1" applyBorder="1" applyAlignment="1">
      <alignment horizontal="center" vertical="top" wrapText="1"/>
    </xf>
    <xf numFmtId="0" fontId="11" fillId="11" borderId="7" xfId="0" applyFont="1" applyFill="1" applyBorder="1" applyAlignment="1">
      <alignment horizontal="center" vertical="center" wrapText="1"/>
    </xf>
    <xf numFmtId="10" fontId="13" fillId="12" borderId="7"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5" fillId="13" borderId="1" xfId="0" applyFont="1" applyFill="1" applyBorder="1" applyAlignment="1">
      <alignment horizontal="center" vertical="center" wrapText="1"/>
    </xf>
    <xf numFmtId="10" fontId="15" fillId="13" borderId="1" xfId="3" applyNumberFormat="1" applyFont="1" applyFill="1" applyBorder="1" applyAlignment="1">
      <alignment horizontal="center" vertical="center" wrapText="1"/>
    </xf>
    <xf numFmtId="10" fontId="15" fillId="13" borderId="5" xfId="3" applyNumberFormat="1" applyFont="1" applyFill="1" applyBorder="1" applyAlignment="1">
      <alignment horizontal="center" vertical="center" wrapText="1"/>
    </xf>
    <xf numFmtId="10" fontId="15" fillId="13" borderId="6" xfId="3" applyNumberFormat="1" applyFont="1" applyFill="1" applyBorder="1" applyAlignment="1">
      <alignment horizontal="center" vertical="center" wrapText="1"/>
    </xf>
    <xf numFmtId="10" fontId="13" fillId="0" borderId="1" xfId="0" applyNumberFormat="1" applyFont="1" applyBorder="1" applyAlignment="1">
      <alignment horizontal="center" vertical="top" wrapText="1"/>
    </xf>
    <xf numFmtId="10" fontId="15" fillId="13" borderId="7" xfId="3" applyNumberFormat="1" applyFont="1" applyFill="1" applyBorder="1" applyAlignment="1">
      <alignment horizontal="center" vertical="center" wrapText="1"/>
    </xf>
    <xf numFmtId="0" fontId="10" fillId="14" borderId="1" xfId="0" applyFont="1" applyFill="1" applyBorder="1" applyAlignment="1">
      <alignment horizontal="center" vertical="center" textRotation="90" wrapText="1"/>
    </xf>
    <xf numFmtId="0" fontId="11" fillId="14" borderId="1" xfId="0" applyFont="1" applyFill="1" applyBorder="1" applyAlignment="1">
      <alignment horizontal="center" vertical="center" wrapText="1"/>
    </xf>
    <xf numFmtId="0" fontId="11" fillId="14" borderId="5" xfId="0" applyFont="1" applyFill="1" applyBorder="1" applyAlignment="1">
      <alignment horizontal="center" vertical="center" wrapText="1"/>
    </xf>
    <xf numFmtId="10" fontId="13" fillId="0" borderId="5" xfId="0" applyNumberFormat="1" applyFont="1" applyBorder="1" applyAlignment="1">
      <alignment horizontal="center" vertical="center" wrapText="1"/>
    </xf>
    <xf numFmtId="0" fontId="17" fillId="0" borderId="0" xfId="0" applyFont="1" applyAlignment="1">
      <alignment horizontal="center" vertical="center" wrapText="1"/>
    </xf>
    <xf numFmtId="0" fontId="19" fillId="0" borderId="0" xfId="0" applyFont="1" applyAlignment="1">
      <alignment horizontal="center" vertical="center" wrapText="1"/>
    </xf>
    <xf numFmtId="9" fontId="19" fillId="0" borderId="0" xfId="0" applyNumberFormat="1" applyFont="1" applyAlignment="1">
      <alignment horizontal="center" vertical="center" wrapText="1"/>
    </xf>
    <xf numFmtId="0" fontId="19" fillId="0" borderId="0" xfId="0" applyFont="1" applyAlignment="1">
      <alignment horizontal="justify" vertical="center" wrapText="1"/>
    </xf>
    <xf numFmtId="0" fontId="20" fillId="0" borderId="0" xfId="0" applyFont="1"/>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21" fillId="0" borderId="0" xfId="0" applyFont="1" applyAlignment="1">
      <alignment horizontal="center"/>
    </xf>
    <xf numFmtId="0" fontId="23" fillId="0" borderId="0" xfId="0" applyFont="1" applyAlignment="1">
      <alignment horizontal="center"/>
    </xf>
    <xf numFmtId="0" fontId="23" fillId="0" borderId="0" xfId="0" applyFont="1"/>
    <xf numFmtId="0" fontId="23"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right"/>
    </xf>
    <xf numFmtId="0" fontId="6" fillId="0" borderId="0" xfId="0" applyFont="1" applyAlignment="1">
      <alignment vertical="center"/>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1830994</xdr:colOff>
      <xdr:row>0</xdr:row>
      <xdr:rowOff>14941</xdr:rowOff>
    </xdr:from>
    <xdr:to>
      <xdr:col>25</xdr:col>
      <xdr:colOff>101977</xdr:colOff>
      <xdr:row>0</xdr:row>
      <xdr:rowOff>741223</xdr:rowOff>
    </xdr:to>
    <xdr:pic>
      <xdr:nvPicPr>
        <xdr:cNvPr id="2" name="Imagen 1" descr="Imagen que contiene objeto&#10;&#10;Descripción generada automáticamente">
          <a:extLst>
            <a:ext uri="{FF2B5EF4-FFF2-40B4-BE49-F238E27FC236}">
              <a16:creationId xmlns:a16="http://schemas.microsoft.com/office/drawing/2014/main" id="{29FCEF21-5808-486D-B74B-83F061739D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24744" y="14941"/>
          <a:ext cx="1649183" cy="726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MATRIZ DE CALIFICACIÓN"/>
      <sheetName val="Impacto Corrupcion"/>
      <sheetName val="Evaluación Diseño Control"/>
      <sheetName val="Autoseguimientos"/>
      <sheetName val="Hoja1"/>
      <sheetName val="Evalua Control"/>
      <sheetName val="CONTEXTO ORGANIZACIONAL"/>
      <sheetName val="MAPA RIESGOS PROCESO"/>
      <sheetName val="Monitoreo"/>
      <sheetName val="Listas"/>
      <sheetName val="INDICE"/>
      <sheetName val="ACTIVIDADES"/>
      <sheetName val="RESUMEN DE PROYECTO"/>
      <sheetName val="CADENA DE VALOR"/>
      <sheetName val="METAS PDD"/>
      <sheetName val="PRODUCTOS MGA"/>
      <sheetName val="METAS - TAREAS"/>
      <sheetName val="ACTIVIDADES - CUALITATIVO"/>
      <sheetName val="INDICADORES DE GESTION"/>
      <sheetName val="ACTIVIDADES2020"/>
      <sheetName val="META-ACTIVIDADES"/>
      <sheetName val="ACTIVIDADES 2021"/>
      <sheetName val="INFORME CUALITATIVO"/>
      <sheetName val="ACTIVIDADES -TAREAS"/>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A8" t="str">
            <v>Comunicación externa</v>
          </cell>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5. Catastrófico</v>
          </cell>
          <cell r="I10" t="str">
            <v>4. Mayor</v>
          </cell>
          <cell r="J10" t="str">
            <v>3. Moderado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 sheetId="10"/>
      <sheetData sheetId="11"/>
      <sheetData sheetId="12" refreshError="1">
        <row r="3">
          <cell r="F3" t="str">
            <v>Preventivo</v>
          </cell>
        </row>
        <row r="4">
          <cell r="F4" t="str">
            <v>Correctivo</v>
          </cell>
        </row>
        <row r="5">
          <cell r="F5" t="str">
            <v>Detectivos</v>
          </cell>
        </row>
      </sheetData>
      <sheetData sheetId="13" refreshError="1"/>
      <sheetData sheetId="14">
        <row r="11">
          <cell r="J11">
            <v>0.1575</v>
          </cell>
        </row>
      </sheetData>
      <sheetData sheetId="15">
        <row r="6">
          <cell r="D6" t="str">
            <v>7877 – Fortalecimiento de la gestión y el conocimiento jurídico en el DADEP, para la defensa del espacio público y el patrimonio</v>
          </cell>
        </row>
      </sheetData>
      <sheetData sheetId="16" refreshError="1"/>
      <sheetData sheetId="17" refreshError="1"/>
      <sheetData sheetId="18" refreshError="1"/>
      <sheetData sheetId="19"/>
      <sheetData sheetId="20">
        <row r="21">
          <cell r="S21" t="str">
            <v>1. Matriz Plan Anual de Adquisiciones que incorpora modificaciones.
2. Documento equivalente de solicitud de modificación contractual para prestación de servicios de la OAJ
3. Matriz de información con modificaciones de la Master
4. ABC que se encuentra en fase de validación y aprobación</v>
          </cell>
        </row>
      </sheetData>
      <sheetData sheetId="21" refreshError="1"/>
      <sheetData sheetId="22"/>
      <sheetData sheetId="23">
        <row r="17">
          <cell r="F17">
            <v>0.4</v>
          </cell>
        </row>
      </sheetData>
      <sheetData sheetId="24">
        <row r="81">
          <cell r="J81">
            <v>1.2500000000000001E-2</v>
          </cell>
        </row>
      </sheetData>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171B2-D82C-431E-B0D3-061E02EB2E0A}">
  <dimension ref="A1:AC46"/>
  <sheetViews>
    <sheetView showGridLines="0" tabSelected="1" zoomScale="70" zoomScaleNormal="70" zoomScaleSheetLayoutView="80" workbookViewId="0">
      <pane ySplit="2" topLeftCell="A15" activePane="bottomLeft" state="frozenSplit"/>
      <selection pane="bottomLeft" activeCell="V38" sqref="V38"/>
    </sheetView>
  </sheetViews>
  <sheetFormatPr baseColWidth="10" defaultColWidth="11.453125" defaultRowHeight="14.5" x14ac:dyDescent="0.35"/>
  <cols>
    <col min="1" max="1" width="24.26953125" style="7" customWidth="1"/>
    <col min="2" max="2" width="6.453125" style="7" customWidth="1"/>
    <col min="3" max="3" width="18.36328125" style="107" customWidth="1"/>
    <col min="4" max="4" width="14.36328125" style="108" customWidth="1"/>
    <col min="5" max="5" width="6.7265625" style="108" customWidth="1"/>
    <col min="6" max="6" width="32" style="109" customWidth="1"/>
    <col min="7" max="7" width="8.6328125" style="110" customWidth="1"/>
    <col min="8" max="8" width="17.453125" style="111" customWidth="1"/>
    <col min="9" max="10" width="9.1796875" style="111" customWidth="1"/>
    <col min="11" max="11" width="10.90625" style="111" hidden="1" customWidth="1"/>
    <col min="12" max="13" width="6.54296875" style="111" hidden="1" customWidth="1"/>
    <col min="14" max="14" width="10.90625" style="112" hidden="1" customWidth="1"/>
    <col min="15" max="16" width="6.54296875" style="112" hidden="1" customWidth="1"/>
    <col min="17" max="17" width="10.90625" style="112" hidden="1" customWidth="1"/>
    <col min="18" max="19" width="6.54296875" style="112" hidden="1" customWidth="1"/>
    <col min="20" max="20" width="19.81640625" style="113" customWidth="1"/>
    <col min="21" max="21" width="8.453125" style="113" customWidth="1"/>
    <col min="22" max="22" width="8.6328125" style="110" customWidth="1"/>
    <col min="23" max="23" width="9.6328125" style="110" customWidth="1"/>
    <col min="24" max="24" width="37.6328125" style="114" customWidth="1"/>
    <col min="25" max="25" width="10.7265625" style="115" customWidth="1"/>
    <col min="26" max="26" width="13.1796875" style="115" customWidth="1"/>
    <col min="27" max="28" width="11.453125" style="7" customWidth="1"/>
    <col min="29" max="16384" width="11.453125" style="7"/>
  </cols>
  <sheetData>
    <row r="1" spans="1:29" ht="63" customHeight="1" x14ac:dyDescent="0.35">
      <c r="A1" s="1" t="s">
        <v>0</v>
      </c>
      <c r="B1" s="1"/>
      <c r="C1" s="1"/>
      <c r="D1" s="1"/>
      <c r="E1" s="1"/>
      <c r="F1" s="1"/>
      <c r="G1" s="2" t="s">
        <v>1</v>
      </c>
      <c r="H1" s="3" t="s">
        <v>2</v>
      </c>
      <c r="I1" s="4"/>
      <c r="J1" s="4"/>
      <c r="K1" s="4"/>
      <c r="L1" s="4"/>
      <c r="M1" s="4"/>
      <c r="N1" s="4"/>
      <c r="O1" s="4"/>
      <c r="P1" s="4"/>
      <c r="Q1" s="4"/>
      <c r="R1" s="4"/>
      <c r="S1" s="4"/>
      <c r="T1" s="5"/>
      <c r="U1" s="6"/>
      <c r="V1" s="6"/>
      <c r="W1" s="6"/>
      <c r="X1" s="6"/>
      <c r="Y1" s="6"/>
      <c r="Z1" s="6"/>
    </row>
    <row r="2" spans="1:29" s="11" customFormat="1" ht="35" customHeight="1" x14ac:dyDescent="0.35">
      <c r="A2" s="8" t="s">
        <v>3</v>
      </c>
      <c r="B2" s="9" t="s">
        <v>4</v>
      </c>
      <c r="C2" s="9"/>
      <c r="D2" s="8" t="s">
        <v>5</v>
      </c>
      <c r="E2" s="8" t="s">
        <v>6</v>
      </c>
      <c r="F2" s="8" t="s">
        <v>7</v>
      </c>
      <c r="G2" s="2"/>
      <c r="H2" s="8" t="s">
        <v>8</v>
      </c>
      <c r="I2" s="8" t="s">
        <v>9</v>
      </c>
      <c r="J2" s="8" t="s">
        <v>10</v>
      </c>
      <c r="K2" s="8" t="s">
        <v>11</v>
      </c>
      <c r="L2" s="8" t="s">
        <v>12</v>
      </c>
      <c r="M2" s="8" t="s">
        <v>13</v>
      </c>
      <c r="N2" s="10" t="s">
        <v>14</v>
      </c>
      <c r="O2" s="8" t="s">
        <v>15</v>
      </c>
      <c r="P2" s="8" t="s">
        <v>16</v>
      </c>
      <c r="Q2" s="8" t="s">
        <v>17</v>
      </c>
      <c r="R2" s="8" t="s">
        <v>18</v>
      </c>
      <c r="S2" s="8" t="s">
        <v>19</v>
      </c>
      <c r="T2" s="8" t="s">
        <v>20</v>
      </c>
      <c r="U2" s="8" t="s">
        <v>21</v>
      </c>
      <c r="V2" s="8" t="s">
        <v>22</v>
      </c>
      <c r="W2" s="8" t="s">
        <v>4</v>
      </c>
      <c r="X2" s="8" t="s">
        <v>23</v>
      </c>
      <c r="Y2" s="8" t="s">
        <v>4</v>
      </c>
      <c r="Z2" s="8" t="s">
        <v>24</v>
      </c>
    </row>
    <row r="3" spans="1:29" ht="74" customHeight="1" x14ac:dyDescent="0.35">
      <c r="A3" s="12" t="s">
        <v>25</v>
      </c>
      <c r="B3" s="13" t="s">
        <v>26</v>
      </c>
      <c r="C3" s="14" t="s">
        <v>27</v>
      </c>
      <c r="D3" s="15" t="s">
        <v>28</v>
      </c>
      <c r="E3" s="16">
        <v>1</v>
      </c>
      <c r="F3" s="17" t="s">
        <v>29</v>
      </c>
      <c r="G3" s="18">
        <v>1</v>
      </c>
      <c r="H3" s="19" t="s">
        <v>30</v>
      </c>
      <c r="I3" s="20">
        <f>(SUM(I4:I42)/37)*100%</f>
        <v>0.70987346439125532</v>
      </c>
      <c r="J3" s="21">
        <f>IFERROR(AVERAGE(I3:I7), )</f>
        <v>0.73381374049729864</v>
      </c>
      <c r="K3" s="19"/>
      <c r="L3" s="19"/>
      <c r="M3" s="21">
        <f>IFERROR(AVERAGE(L3:L7), )</f>
        <v>0</v>
      </c>
      <c r="N3" s="22"/>
      <c r="O3" s="22"/>
      <c r="P3" s="21">
        <f>IFERROR(AVERAGE(O3:O7), )</f>
        <v>0</v>
      </c>
      <c r="Q3" s="22"/>
      <c r="R3" s="22"/>
      <c r="S3" s="21">
        <f>IFERROR(AVERAGE(R3:R7), )</f>
        <v>0</v>
      </c>
      <c r="T3" s="23"/>
      <c r="U3" s="24" t="s">
        <v>31</v>
      </c>
      <c r="V3" s="25" t="s">
        <v>32</v>
      </c>
      <c r="W3" s="24" t="s">
        <v>33</v>
      </c>
      <c r="X3" s="26" t="s">
        <v>34</v>
      </c>
      <c r="Y3" s="24" t="s">
        <v>35</v>
      </c>
      <c r="Z3" s="24" t="s">
        <v>36</v>
      </c>
    </row>
    <row r="4" spans="1:29" ht="74" customHeight="1" x14ac:dyDescent="0.35">
      <c r="A4" s="12"/>
      <c r="B4" s="27"/>
      <c r="C4" s="14"/>
      <c r="D4" s="28"/>
      <c r="E4" s="16">
        <v>2</v>
      </c>
      <c r="F4" s="17" t="s">
        <v>37</v>
      </c>
      <c r="G4" s="18">
        <v>1</v>
      </c>
      <c r="H4" s="29" t="s">
        <v>38</v>
      </c>
      <c r="I4" s="29">
        <f>(34%*(7/20))+(33%*(2/20))+(21.3%*(4/20))+(25%*(5/20))+(12%*(2/20))</f>
        <v>0.26910000000000001</v>
      </c>
      <c r="J4" s="30"/>
      <c r="K4" s="29"/>
      <c r="L4" s="29"/>
      <c r="M4" s="30"/>
      <c r="N4" s="29"/>
      <c r="O4" s="29"/>
      <c r="P4" s="30"/>
      <c r="Q4" s="29"/>
      <c r="R4" s="29"/>
      <c r="S4" s="30"/>
      <c r="T4" s="23"/>
      <c r="U4" s="24" t="s">
        <v>31</v>
      </c>
      <c r="V4" s="25">
        <v>1</v>
      </c>
      <c r="W4" s="24" t="s">
        <v>33</v>
      </c>
      <c r="X4" s="26" t="s">
        <v>39</v>
      </c>
      <c r="Y4" s="24" t="s">
        <v>40</v>
      </c>
      <c r="Z4" s="24" t="s">
        <v>36</v>
      </c>
    </row>
    <row r="5" spans="1:29" ht="50.5" customHeight="1" x14ac:dyDescent="0.35">
      <c r="A5" s="12" t="s">
        <v>41</v>
      </c>
      <c r="B5" s="27"/>
      <c r="C5" s="14"/>
      <c r="D5" s="28"/>
      <c r="E5" s="16">
        <v>3</v>
      </c>
      <c r="F5" s="31" t="s">
        <v>42</v>
      </c>
      <c r="G5" s="18">
        <v>1</v>
      </c>
      <c r="H5" s="29" t="s">
        <v>43</v>
      </c>
      <c r="I5" s="29">
        <f>(12/21)*100%</f>
        <v>0.5714285714285714</v>
      </c>
      <c r="J5" s="30"/>
      <c r="K5" s="29"/>
      <c r="L5" s="29"/>
      <c r="M5" s="30"/>
      <c r="N5" s="29"/>
      <c r="O5" s="29"/>
      <c r="P5" s="30"/>
      <c r="Q5" s="29"/>
      <c r="R5" s="29"/>
      <c r="S5" s="30"/>
      <c r="T5" s="23"/>
      <c r="U5" s="24" t="s">
        <v>31</v>
      </c>
      <c r="V5" s="25" t="s">
        <v>32</v>
      </c>
      <c r="W5" s="24" t="s">
        <v>44</v>
      </c>
      <c r="X5" s="26" t="s">
        <v>45</v>
      </c>
      <c r="Y5" s="24" t="s">
        <v>35</v>
      </c>
      <c r="Z5" s="24" t="s">
        <v>46</v>
      </c>
    </row>
    <row r="6" spans="1:29" ht="57" customHeight="1" x14ac:dyDescent="0.35">
      <c r="A6" s="12"/>
      <c r="B6" s="27"/>
      <c r="C6" s="14"/>
      <c r="D6" s="32"/>
      <c r="E6" s="16">
        <v>4</v>
      </c>
      <c r="F6" s="31" t="s">
        <v>47</v>
      </c>
      <c r="G6" s="18">
        <v>1</v>
      </c>
      <c r="H6" s="29" t="s">
        <v>48</v>
      </c>
      <c r="I6" s="29">
        <f>(75/75)*100%</f>
        <v>1</v>
      </c>
      <c r="J6" s="30"/>
      <c r="K6" s="29"/>
      <c r="L6" s="29"/>
      <c r="M6" s="30"/>
      <c r="N6" s="29"/>
      <c r="O6" s="29"/>
      <c r="P6" s="30"/>
      <c r="Q6" s="29"/>
      <c r="R6" s="29"/>
      <c r="S6" s="30"/>
      <c r="T6" s="23"/>
      <c r="U6" s="24" t="s">
        <v>31</v>
      </c>
      <c r="V6" s="25" t="s">
        <v>32</v>
      </c>
      <c r="W6" s="24" t="s">
        <v>44</v>
      </c>
      <c r="X6" s="26" t="s">
        <v>49</v>
      </c>
      <c r="Y6" s="24" t="s">
        <v>35</v>
      </c>
      <c r="Z6" s="24" t="s">
        <v>36</v>
      </c>
    </row>
    <row r="7" spans="1:29" ht="107" customHeight="1" x14ac:dyDescent="0.35">
      <c r="A7" s="12"/>
      <c r="B7" s="27"/>
      <c r="C7" s="14"/>
      <c r="D7" s="33" t="s">
        <v>50</v>
      </c>
      <c r="E7" s="16">
        <v>5</v>
      </c>
      <c r="F7" s="31" t="s">
        <v>51</v>
      </c>
      <c r="G7" s="18" t="s">
        <v>52</v>
      </c>
      <c r="H7" s="29" t="s">
        <v>53</v>
      </c>
      <c r="I7" s="29">
        <f>((5.59%+6.59%+4.6%)/15%)*100%</f>
        <v>1.1186666666666667</v>
      </c>
      <c r="J7" s="34"/>
      <c r="K7" s="29"/>
      <c r="L7" s="29"/>
      <c r="M7" s="34"/>
      <c r="N7" s="29"/>
      <c r="O7" s="29"/>
      <c r="P7" s="34"/>
      <c r="Q7" s="29"/>
      <c r="R7" s="29"/>
      <c r="S7" s="34"/>
      <c r="T7" s="23"/>
      <c r="U7" s="24" t="s">
        <v>31</v>
      </c>
      <c r="V7" s="25" t="s">
        <v>32</v>
      </c>
      <c r="W7" s="24" t="s">
        <v>44</v>
      </c>
      <c r="X7" s="26" t="s">
        <v>54</v>
      </c>
      <c r="Y7" s="24" t="s">
        <v>40</v>
      </c>
      <c r="Z7" s="24" t="s">
        <v>36</v>
      </c>
    </row>
    <row r="8" spans="1:29" ht="61" customHeight="1" x14ac:dyDescent="0.35">
      <c r="A8" s="12"/>
      <c r="B8" s="27"/>
      <c r="C8" s="14" t="s">
        <v>55</v>
      </c>
      <c r="D8" s="35" t="s">
        <v>56</v>
      </c>
      <c r="E8" s="16">
        <v>6</v>
      </c>
      <c r="F8" s="31" t="s">
        <v>57</v>
      </c>
      <c r="G8" s="36">
        <v>1</v>
      </c>
      <c r="H8" s="29" t="s">
        <v>58</v>
      </c>
      <c r="I8" s="29">
        <f>(1067/1068)*100%</f>
        <v>0.99906367041198507</v>
      </c>
      <c r="J8" s="37">
        <f>IFERROR(AVERAGE(I8:I10), )</f>
        <v>0.98718789013732833</v>
      </c>
      <c r="K8" s="29"/>
      <c r="L8" s="29"/>
      <c r="M8" s="37">
        <f>IFERROR(AVERAGE(L8:L10), )</f>
        <v>0</v>
      </c>
      <c r="N8" s="23"/>
      <c r="O8" s="23"/>
      <c r="P8" s="37">
        <f>IFERROR(AVERAGE(O8:O10), )</f>
        <v>0</v>
      </c>
      <c r="Q8" s="23"/>
      <c r="R8" s="23"/>
      <c r="S8" s="37">
        <f>IFERROR(AVERAGE(R8:R10), )</f>
        <v>0</v>
      </c>
      <c r="T8" s="23"/>
      <c r="U8" s="24" t="s">
        <v>31</v>
      </c>
      <c r="V8" s="25" t="s">
        <v>32</v>
      </c>
      <c r="W8" s="24" t="s">
        <v>44</v>
      </c>
      <c r="X8" s="38" t="s">
        <v>59</v>
      </c>
      <c r="Y8" s="24" t="s">
        <v>35</v>
      </c>
      <c r="Z8" s="24" t="s">
        <v>36</v>
      </c>
    </row>
    <row r="9" spans="1:29" ht="88" customHeight="1" x14ac:dyDescent="0.35">
      <c r="A9" s="12"/>
      <c r="B9" s="27"/>
      <c r="C9" s="14"/>
      <c r="D9" s="35"/>
      <c r="E9" s="16">
        <v>7</v>
      </c>
      <c r="F9" s="39" t="s">
        <v>60</v>
      </c>
      <c r="G9" s="40">
        <v>1</v>
      </c>
      <c r="H9" s="19" t="s">
        <v>61</v>
      </c>
      <c r="I9" s="20">
        <f>(40/40)*100%</f>
        <v>1</v>
      </c>
      <c r="J9" s="41"/>
      <c r="K9" s="42"/>
      <c r="L9" s="42"/>
      <c r="M9" s="41"/>
      <c r="N9" s="42"/>
      <c r="O9" s="42"/>
      <c r="P9" s="41"/>
      <c r="Q9" s="42"/>
      <c r="R9" s="42"/>
      <c r="S9" s="41"/>
      <c r="T9" s="42"/>
      <c r="U9" s="43" t="s">
        <v>31</v>
      </c>
      <c r="V9" s="43" t="s">
        <v>32</v>
      </c>
      <c r="W9" s="43" t="s">
        <v>44</v>
      </c>
      <c r="X9" s="44" t="s">
        <v>62</v>
      </c>
      <c r="Y9" s="43" t="s">
        <v>63</v>
      </c>
      <c r="Z9" s="43" t="s">
        <v>36</v>
      </c>
    </row>
    <row r="10" spans="1:29" ht="88" customHeight="1" x14ac:dyDescent="0.35">
      <c r="A10" s="12"/>
      <c r="B10" s="27"/>
      <c r="C10" s="14"/>
      <c r="D10" s="35"/>
      <c r="E10" s="16">
        <v>8</v>
      </c>
      <c r="F10" s="39" t="s">
        <v>64</v>
      </c>
      <c r="G10" s="40">
        <v>1</v>
      </c>
      <c r="H10" s="45" t="s">
        <v>65</v>
      </c>
      <c r="I10" s="29">
        <f>(77/80)*100%</f>
        <v>0.96250000000000002</v>
      </c>
      <c r="J10" s="46"/>
      <c r="K10" s="42"/>
      <c r="L10" s="42"/>
      <c r="M10" s="46"/>
      <c r="N10" s="42"/>
      <c r="O10" s="42"/>
      <c r="P10" s="46"/>
      <c r="Q10" s="42"/>
      <c r="R10" s="42"/>
      <c r="S10" s="46"/>
      <c r="T10" s="42"/>
      <c r="U10" s="43" t="s">
        <v>31</v>
      </c>
      <c r="V10" s="43" t="s">
        <v>32</v>
      </c>
      <c r="W10" s="43" t="s">
        <v>44</v>
      </c>
      <c r="X10" s="44" t="s">
        <v>62</v>
      </c>
      <c r="Y10" s="43" t="s">
        <v>63</v>
      </c>
      <c r="Z10" s="43" t="s">
        <v>36</v>
      </c>
    </row>
    <row r="11" spans="1:29" ht="105" customHeight="1" x14ac:dyDescent="0.35">
      <c r="A11" s="47" t="s">
        <v>66</v>
      </c>
      <c r="B11" s="27"/>
      <c r="C11" s="48" t="s">
        <v>67</v>
      </c>
      <c r="D11" s="15" t="s">
        <v>68</v>
      </c>
      <c r="E11" s="16">
        <v>9</v>
      </c>
      <c r="F11" s="31" t="s">
        <v>69</v>
      </c>
      <c r="G11" s="49">
        <v>3</v>
      </c>
      <c r="H11" s="23">
        <v>0.75</v>
      </c>
      <c r="I11" s="50">
        <v>0.75</v>
      </c>
      <c r="J11" s="51">
        <f>IFERROR(AVERAGE(I11:I12), )</f>
        <v>0.41857142857142859</v>
      </c>
      <c r="K11" s="23"/>
      <c r="L11" s="23"/>
      <c r="M11" s="51">
        <f>IFERROR(AVERAGE(L11:L12), )</f>
        <v>0</v>
      </c>
      <c r="N11" s="23"/>
      <c r="O11" s="23"/>
      <c r="P11" s="51">
        <f>IFERROR(AVERAGE(O11:O12), )</f>
        <v>0</v>
      </c>
      <c r="Q11" s="23"/>
      <c r="R11" s="23"/>
      <c r="S11" s="51">
        <f>IFERROR(AVERAGE(R11:R12), )</f>
        <v>0</v>
      </c>
      <c r="T11" s="52"/>
      <c r="U11" s="25" t="s">
        <v>31</v>
      </c>
      <c r="V11" s="24">
        <v>12</v>
      </c>
      <c r="W11" s="24" t="s">
        <v>33</v>
      </c>
      <c r="X11" s="26" t="s">
        <v>70</v>
      </c>
      <c r="Y11" s="24" t="s">
        <v>40</v>
      </c>
      <c r="Z11" s="24" t="s">
        <v>36</v>
      </c>
    </row>
    <row r="12" spans="1:29" ht="105" customHeight="1" x14ac:dyDescent="0.35">
      <c r="A12" s="53"/>
      <c r="B12" s="54"/>
      <c r="C12" s="55"/>
      <c r="D12" s="32"/>
      <c r="E12" s="16">
        <v>10</v>
      </c>
      <c r="F12" s="31" t="s">
        <v>71</v>
      </c>
      <c r="G12" s="56">
        <v>1</v>
      </c>
      <c r="H12" s="57" t="s">
        <v>72</v>
      </c>
      <c r="I12" s="20">
        <f>(0.61/7) * 100%</f>
        <v>8.7142857142857147E-2</v>
      </c>
      <c r="J12" s="58"/>
      <c r="K12" s="50"/>
      <c r="L12" s="50"/>
      <c r="M12" s="58"/>
      <c r="N12" s="23"/>
      <c r="O12" s="23"/>
      <c r="P12" s="58"/>
      <c r="Q12" s="23"/>
      <c r="R12" s="23"/>
      <c r="S12" s="58"/>
      <c r="T12" s="59"/>
      <c r="U12" s="25" t="s">
        <v>31</v>
      </c>
      <c r="V12" s="24" t="s">
        <v>32</v>
      </c>
      <c r="W12" s="24" t="s">
        <v>33</v>
      </c>
      <c r="X12" s="26" t="s">
        <v>73</v>
      </c>
      <c r="Y12" s="24" t="s">
        <v>40</v>
      </c>
      <c r="Z12" s="24" t="s">
        <v>36</v>
      </c>
    </row>
    <row r="13" spans="1:29" ht="75.75" customHeight="1" x14ac:dyDescent="0.35">
      <c r="A13" s="60" t="s">
        <v>74</v>
      </c>
      <c r="B13" s="61" t="s">
        <v>75</v>
      </c>
      <c r="C13" s="62" t="s">
        <v>76</v>
      </c>
      <c r="D13" s="35" t="s">
        <v>68</v>
      </c>
      <c r="E13" s="16">
        <v>11</v>
      </c>
      <c r="F13" s="31" t="s">
        <v>77</v>
      </c>
      <c r="G13" s="63" t="s">
        <v>78</v>
      </c>
      <c r="H13" s="64" t="s">
        <v>79</v>
      </c>
      <c r="I13" s="65">
        <f>50911.02/150000</f>
        <v>0.33940679999999995</v>
      </c>
      <c r="J13" s="66">
        <f>IFERROR(AVERAGE(I13:I14), )</f>
        <v>0.33940679999999995</v>
      </c>
      <c r="K13" s="67"/>
      <c r="L13" s="67"/>
      <c r="M13" s="66">
        <f>IFERROR(AVERAGE(L13:L14), )</f>
        <v>0</v>
      </c>
      <c r="N13" s="67"/>
      <c r="O13" s="67"/>
      <c r="P13" s="66">
        <f>IFERROR(AVERAGE(O13:O14), )</f>
        <v>0</v>
      </c>
      <c r="Q13" s="67"/>
      <c r="R13" s="67"/>
      <c r="S13" s="66">
        <f>IFERROR(AVERAGE(R13:R14), )</f>
        <v>0</v>
      </c>
      <c r="T13" s="68" t="s">
        <v>80</v>
      </c>
      <c r="U13" s="25" t="s">
        <v>31</v>
      </c>
      <c r="V13" s="24" t="s">
        <v>32</v>
      </c>
      <c r="W13" s="24" t="s">
        <v>33</v>
      </c>
      <c r="X13" s="38" t="s">
        <v>81</v>
      </c>
      <c r="Y13" s="24" t="s">
        <v>40</v>
      </c>
      <c r="Z13" s="24" t="s">
        <v>36</v>
      </c>
      <c r="AB13" s="7" t="s">
        <v>82</v>
      </c>
    </row>
    <row r="14" spans="1:29" ht="116" customHeight="1" x14ac:dyDescent="0.35">
      <c r="A14" s="60"/>
      <c r="B14" s="61"/>
      <c r="C14" s="62"/>
      <c r="D14" s="35"/>
      <c r="E14" s="16">
        <v>12</v>
      </c>
      <c r="F14" s="31" t="s">
        <v>83</v>
      </c>
      <c r="G14" s="63">
        <v>280</v>
      </c>
      <c r="H14" s="67" t="s">
        <v>84</v>
      </c>
      <c r="I14" s="67" t="s">
        <v>32</v>
      </c>
      <c r="J14" s="69"/>
      <c r="K14" s="70"/>
      <c r="L14" s="70"/>
      <c r="M14" s="69"/>
      <c r="N14" s="70"/>
      <c r="O14" s="70"/>
      <c r="P14" s="69"/>
      <c r="Q14" s="70"/>
      <c r="R14" s="70"/>
      <c r="S14" s="69"/>
      <c r="T14" s="71"/>
      <c r="U14" s="25" t="s">
        <v>31</v>
      </c>
      <c r="V14" s="24" t="s">
        <v>32</v>
      </c>
      <c r="W14" s="24" t="s">
        <v>33</v>
      </c>
      <c r="X14" s="38" t="s">
        <v>85</v>
      </c>
      <c r="Y14" s="24" t="s">
        <v>40</v>
      </c>
      <c r="Z14" s="24" t="s">
        <v>86</v>
      </c>
      <c r="AB14" s="7" t="s">
        <v>87</v>
      </c>
    </row>
    <row r="15" spans="1:29" ht="112" customHeight="1" x14ac:dyDescent="0.35">
      <c r="A15" s="72" t="s">
        <v>88</v>
      </c>
      <c r="B15" s="61"/>
      <c r="C15" s="62" t="s">
        <v>89</v>
      </c>
      <c r="D15" s="35" t="s">
        <v>90</v>
      </c>
      <c r="E15" s="16">
        <v>13</v>
      </c>
      <c r="F15" s="31" t="s">
        <v>91</v>
      </c>
      <c r="G15" s="18">
        <v>1</v>
      </c>
      <c r="H15" s="29" t="s">
        <v>92</v>
      </c>
      <c r="I15" s="29">
        <f>(11/79)*100%</f>
        <v>0.13924050632911392</v>
      </c>
      <c r="J15" s="37">
        <f>IFERROR(AVERAGE(I15:I21), )</f>
        <v>0.73417721518987344</v>
      </c>
      <c r="K15" s="29"/>
      <c r="L15" s="29"/>
      <c r="M15" s="37">
        <f>IFERROR(AVERAGE(L15:L21), )</f>
        <v>0</v>
      </c>
      <c r="N15" s="29"/>
      <c r="O15" s="29"/>
      <c r="P15" s="37">
        <f>IFERROR(AVERAGE(O15:O21), )</f>
        <v>0</v>
      </c>
      <c r="Q15" s="29"/>
      <c r="R15" s="29"/>
      <c r="S15" s="37">
        <f>IFERROR(AVERAGE(R15:R21), )</f>
        <v>0</v>
      </c>
      <c r="T15" s="23"/>
      <c r="U15" s="25" t="s">
        <v>31</v>
      </c>
      <c r="V15" s="25" t="s">
        <v>32</v>
      </c>
      <c r="W15" s="24" t="s">
        <v>33</v>
      </c>
      <c r="X15" s="26" t="s">
        <v>93</v>
      </c>
      <c r="Y15" s="24" t="s">
        <v>40</v>
      </c>
      <c r="Z15" s="24" t="s">
        <v>36</v>
      </c>
    </row>
    <row r="16" spans="1:29" ht="61" customHeight="1" x14ac:dyDescent="0.35">
      <c r="A16" s="60"/>
      <c r="B16" s="61"/>
      <c r="C16" s="62"/>
      <c r="D16" s="35"/>
      <c r="E16" s="16">
        <v>14</v>
      </c>
      <c r="F16" s="31" t="s">
        <v>94</v>
      </c>
      <c r="G16" s="18">
        <v>1</v>
      </c>
      <c r="H16" s="29" t="s">
        <v>95</v>
      </c>
      <c r="I16" s="29">
        <f>(0/4)*100%</f>
        <v>0</v>
      </c>
      <c r="J16" s="41"/>
      <c r="K16" s="29"/>
      <c r="L16" s="29"/>
      <c r="M16" s="41"/>
      <c r="N16" s="29"/>
      <c r="O16" s="29"/>
      <c r="P16" s="41"/>
      <c r="Q16" s="29"/>
      <c r="R16" s="29"/>
      <c r="S16" s="41"/>
      <c r="T16" s="23"/>
      <c r="U16" s="25" t="s">
        <v>31</v>
      </c>
      <c r="V16" s="25" t="s">
        <v>32</v>
      </c>
      <c r="W16" s="24" t="s">
        <v>33</v>
      </c>
      <c r="X16" s="26" t="s">
        <v>96</v>
      </c>
      <c r="Y16" s="24" t="s">
        <v>40</v>
      </c>
      <c r="Z16" s="24" t="s">
        <v>36</v>
      </c>
      <c r="AB16" s="7" t="s">
        <v>97</v>
      </c>
      <c r="AC16" s="7" t="s">
        <v>98</v>
      </c>
    </row>
    <row r="17" spans="1:29" ht="50.5" customHeight="1" x14ac:dyDescent="0.35">
      <c r="A17" s="60"/>
      <c r="B17" s="61"/>
      <c r="C17" s="62"/>
      <c r="D17" s="35"/>
      <c r="E17" s="16">
        <v>15</v>
      </c>
      <c r="F17" s="31" t="s">
        <v>99</v>
      </c>
      <c r="G17" s="18">
        <v>1</v>
      </c>
      <c r="H17" s="29" t="s">
        <v>100</v>
      </c>
      <c r="I17" s="29">
        <f>(0.1/0.1)*100%</f>
        <v>1</v>
      </c>
      <c r="J17" s="41"/>
      <c r="K17" s="29"/>
      <c r="L17" s="29"/>
      <c r="M17" s="41"/>
      <c r="N17" s="29"/>
      <c r="O17" s="29"/>
      <c r="P17" s="41"/>
      <c r="Q17" s="29"/>
      <c r="R17" s="29"/>
      <c r="S17" s="41"/>
      <c r="T17" s="23" t="s">
        <v>101</v>
      </c>
      <c r="U17" s="25" t="s">
        <v>31</v>
      </c>
      <c r="V17" s="25" t="s">
        <v>32</v>
      </c>
      <c r="W17" s="24" t="s">
        <v>44</v>
      </c>
      <c r="X17" s="26" t="s">
        <v>102</v>
      </c>
      <c r="Y17" s="24" t="s">
        <v>40</v>
      </c>
      <c r="Z17" s="24" t="s">
        <v>36</v>
      </c>
      <c r="AB17" s="7" t="s">
        <v>97</v>
      </c>
      <c r="AC17" s="7" t="s">
        <v>98</v>
      </c>
    </row>
    <row r="18" spans="1:29" ht="50.5" customHeight="1" x14ac:dyDescent="0.35">
      <c r="A18" s="60"/>
      <c r="B18" s="61"/>
      <c r="C18" s="62"/>
      <c r="D18" s="35"/>
      <c r="E18" s="16">
        <v>16</v>
      </c>
      <c r="F18" s="31" t="s">
        <v>103</v>
      </c>
      <c r="G18" s="18">
        <v>1</v>
      </c>
      <c r="H18" s="29" t="s">
        <v>100</v>
      </c>
      <c r="I18" s="29">
        <f>(0.1/0.1)*100%</f>
        <v>1</v>
      </c>
      <c r="J18" s="41"/>
      <c r="K18" s="29"/>
      <c r="L18" s="29"/>
      <c r="M18" s="41"/>
      <c r="N18" s="29"/>
      <c r="O18" s="29"/>
      <c r="P18" s="41"/>
      <c r="Q18" s="29"/>
      <c r="R18" s="29"/>
      <c r="S18" s="41"/>
      <c r="T18" s="23" t="s">
        <v>101</v>
      </c>
      <c r="U18" s="25" t="s">
        <v>31</v>
      </c>
      <c r="V18" s="25" t="s">
        <v>32</v>
      </c>
      <c r="W18" s="24" t="s">
        <v>44</v>
      </c>
      <c r="X18" s="26" t="s">
        <v>104</v>
      </c>
      <c r="Y18" s="24" t="s">
        <v>40</v>
      </c>
      <c r="Z18" s="24" t="s">
        <v>36</v>
      </c>
      <c r="AB18" s="7" t="s">
        <v>97</v>
      </c>
      <c r="AC18" s="7" t="s">
        <v>98</v>
      </c>
    </row>
    <row r="19" spans="1:29" ht="50.5" customHeight="1" x14ac:dyDescent="0.35">
      <c r="A19" s="60"/>
      <c r="B19" s="61"/>
      <c r="C19" s="62"/>
      <c r="D19" s="35"/>
      <c r="E19" s="16">
        <v>17</v>
      </c>
      <c r="F19" s="31" t="s">
        <v>105</v>
      </c>
      <c r="G19" s="18">
        <v>1</v>
      </c>
      <c r="H19" s="29" t="s">
        <v>106</v>
      </c>
      <c r="I19" s="29">
        <f>(1/1)*100%</f>
        <v>1</v>
      </c>
      <c r="J19" s="41"/>
      <c r="K19" s="29"/>
      <c r="L19" s="29"/>
      <c r="M19" s="41"/>
      <c r="N19" s="29"/>
      <c r="O19" s="29"/>
      <c r="P19" s="41"/>
      <c r="Q19" s="29"/>
      <c r="R19" s="29"/>
      <c r="S19" s="41"/>
      <c r="T19" s="23" t="s">
        <v>101</v>
      </c>
      <c r="U19" s="25" t="s">
        <v>31</v>
      </c>
      <c r="V19" s="25" t="s">
        <v>32</v>
      </c>
      <c r="W19" s="24" t="s">
        <v>44</v>
      </c>
      <c r="X19" s="26" t="s">
        <v>107</v>
      </c>
      <c r="Y19" s="24" t="s">
        <v>40</v>
      </c>
      <c r="Z19" s="24" t="s">
        <v>36</v>
      </c>
      <c r="AB19" s="7" t="s">
        <v>97</v>
      </c>
      <c r="AC19" s="7" t="s">
        <v>98</v>
      </c>
    </row>
    <row r="20" spans="1:29" ht="50.5" customHeight="1" x14ac:dyDescent="0.35">
      <c r="A20" s="60"/>
      <c r="B20" s="61"/>
      <c r="C20" s="62"/>
      <c r="D20" s="35"/>
      <c r="E20" s="16">
        <v>18</v>
      </c>
      <c r="F20" s="31" t="s">
        <v>108</v>
      </c>
      <c r="G20" s="18">
        <v>1</v>
      </c>
      <c r="H20" s="29" t="s">
        <v>100</v>
      </c>
      <c r="I20" s="29">
        <f t="shared" ref="I20:I21" si="0">(0.1/0.1)*100%</f>
        <v>1</v>
      </c>
      <c r="J20" s="41"/>
      <c r="K20" s="29"/>
      <c r="L20" s="29"/>
      <c r="M20" s="41"/>
      <c r="N20" s="29"/>
      <c r="O20" s="29"/>
      <c r="P20" s="41"/>
      <c r="Q20" s="29"/>
      <c r="R20" s="29"/>
      <c r="S20" s="41"/>
      <c r="T20" s="23" t="s">
        <v>101</v>
      </c>
      <c r="U20" s="25" t="s">
        <v>31</v>
      </c>
      <c r="V20" s="25" t="s">
        <v>32</v>
      </c>
      <c r="W20" s="24" t="s">
        <v>44</v>
      </c>
      <c r="X20" s="26" t="s">
        <v>109</v>
      </c>
      <c r="Y20" s="24" t="s">
        <v>63</v>
      </c>
      <c r="Z20" s="24" t="s">
        <v>36</v>
      </c>
      <c r="AB20" s="7" t="s">
        <v>97</v>
      </c>
      <c r="AC20" s="7" t="s">
        <v>98</v>
      </c>
    </row>
    <row r="21" spans="1:29" ht="69" customHeight="1" x14ac:dyDescent="0.35">
      <c r="A21" s="60"/>
      <c r="B21" s="61"/>
      <c r="C21" s="62"/>
      <c r="D21" s="35"/>
      <c r="E21" s="16">
        <v>19</v>
      </c>
      <c r="F21" s="31" t="s">
        <v>110</v>
      </c>
      <c r="G21" s="36">
        <v>1</v>
      </c>
      <c r="H21" s="29" t="s">
        <v>111</v>
      </c>
      <c r="I21" s="29">
        <f t="shared" si="0"/>
        <v>1</v>
      </c>
      <c r="J21" s="46"/>
      <c r="K21" s="29"/>
      <c r="L21" s="29"/>
      <c r="M21" s="46"/>
      <c r="N21" s="29"/>
      <c r="O21" s="29"/>
      <c r="P21" s="46"/>
      <c r="Q21" s="29"/>
      <c r="R21" s="29"/>
      <c r="S21" s="46"/>
      <c r="T21" s="23"/>
      <c r="U21" s="25" t="s">
        <v>31</v>
      </c>
      <c r="V21" s="25" t="s">
        <v>32</v>
      </c>
      <c r="W21" s="24" t="s">
        <v>44</v>
      </c>
      <c r="X21" s="26" t="s">
        <v>112</v>
      </c>
      <c r="Y21" s="24" t="s">
        <v>40</v>
      </c>
      <c r="Z21" s="24" t="s">
        <v>36</v>
      </c>
      <c r="AB21" s="7" t="s">
        <v>97</v>
      </c>
      <c r="AC21" s="7" t="s">
        <v>98</v>
      </c>
    </row>
    <row r="22" spans="1:29" ht="82.5" customHeight="1" x14ac:dyDescent="0.35">
      <c r="A22" s="60" t="s">
        <v>74</v>
      </c>
      <c r="B22" s="61"/>
      <c r="C22" s="62" t="s">
        <v>113</v>
      </c>
      <c r="D22" s="35" t="s">
        <v>90</v>
      </c>
      <c r="E22" s="16">
        <v>20</v>
      </c>
      <c r="F22" s="31" t="s">
        <v>114</v>
      </c>
      <c r="G22" s="18">
        <v>1</v>
      </c>
      <c r="H22" s="29" t="s">
        <v>115</v>
      </c>
      <c r="I22" s="29">
        <f>(197/1120)*100%</f>
        <v>0.17589285714285716</v>
      </c>
      <c r="J22" s="37">
        <f>IFERROR(AVERAGE(I22:I23), )</f>
        <v>0.25279227857142855</v>
      </c>
      <c r="K22" s="29"/>
      <c r="L22" s="29"/>
      <c r="M22" s="37">
        <f>IFERROR(AVERAGE(L22:L23), )</f>
        <v>0</v>
      </c>
      <c r="N22" s="29"/>
      <c r="O22" s="29"/>
      <c r="P22" s="37">
        <f>IFERROR(AVERAGE(O22:O23), )</f>
        <v>0</v>
      </c>
      <c r="Q22" s="29"/>
      <c r="R22" s="29"/>
      <c r="S22" s="37">
        <f>IFERROR(AVERAGE(R22:R23), )</f>
        <v>0</v>
      </c>
      <c r="T22" s="23"/>
      <c r="U22" s="25" t="s">
        <v>31</v>
      </c>
      <c r="V22" s="25" t="s">
        <v>32</v>
      </c>
      <c r="W22" s="24" t="s">
        <v>33</v>
      </c>
      <c r="X22" s="26" t="s">
        <v>116</v>
      </c>
      <c r="Y22" s="24" t="s">
        <v>40</v>
      </c>
      <c r="Z22" s="24" t="s">
        <v>36</v>
      </c>
    </row>
    <row r="23" spans="1:29" ht="76.5" customHeight="1" x14ac:dyDescent="0.35">
      <c r="A23" s="60"/>
      <c r="B23" s="61"/>
      <c r="C23" s="62"/>
      <c r="D23" s="35"/>
      <c r="E23" s="16">
        <v>21</v>
      </c>
      <c r="F23" s="31" t="s">
        <v>117</v>
      </c>
      <c r="G23" s="18">
        <v>1</v>
      </c>
      <c r="H23" s="29" t="s">
        <v>118</v>
      </c>
      <c r="I23" s="29">
        <f>(65938.34/200000)*100%</f>
        <v>0.32969169999999998</v>
      </c>
      <c r="J23" s="46"/>
      <c r="K23" s="29"/>
      <c r="L23" s="29"/>
      <c r="M23" s="46"/>
      <c r="N23" s="29"/>
      <c r="O23" s="29"/>
      <c r="P23" s="46"/>
      <c r="Q23" s="29"/>
      <c r="R23" s="29"/>
      <c r="S23" s="46"/>
      <c r="T23" s="23"/>
      <c r="U23" s="25" t="s">
        <v>31</v>
      </c>
      <c r="V23" s="25" t="s">
        <v>32</v>
      </c>
      <c r="W23" s="24" t="s">
        <v>33</v>
      </c>
      <c r="X23" s="26" t="s">
        <v>119</v>
      </c>
      <c r="Y23" s="24" t="s">
        <v>40</v>
      </c>
      <c r="Z23" s="24" t="s">
        <v>36</v>
      </c>
    </row>
    <row r="24" spans="1:29" ht="72.75" customHeight="1" x14ac:dyDescent="0.35">
      <c r="A24" s="60" t="s">
        <v>25</v>
      </c>
      <c r="B24" s="73" t="s">
        <v>120</v>
      </c>
      <c r="C24" s="74" t="s">
        <v>121</v>
      </c>
      <c r="D24" s="35" t="s">
        <v>122</v>
      </c>
      <c r="E24" s="16">
        <v>22</v>
      </c>
      <c r="F24" s="31" t="s">
        <v>123</v>
      </c>
      <c r="G24" s="36">
        <v>0.9</v>
      </c>
      <c r="H24" s="75" t="s">
        <v>124</v>
      </c>
      <c r="I24" s="50">
        <f>(4/4)*100%</f>
        <v>1</v>
      </c>
      <c r="J24" s="51">
        <f>IFERROR(AVERAGE(I24:I27), )</f>
        <v>0.87145713423466931</v>
      </c>
      <c r="K24" s="23"/>
      <c r="L24" s="23"/>
      <c r="M24" s="51">
        <f>IFERROR(AVERAGE(L24:L27), )</f>
        <v>0</v>
      </c>
      <c r="N24" s="23"/>
      <c r="O24" s="23"/>
      <c r="P24" s="51">
        <f>IFERROR(AVERAGE(O24:O27), )</f>
        <v>0</v>
      </c>
      <c r="Q24" s="23"/>
      <c r="R24" s="23"/>
      <c r="S24" s="51">
        <f>IFERROR(AVERAGE(R24:R27), )</f>
        <v>0</v>
      </c>
      <c r="T24" s="23"/>
      <c r="U24" s="25" t="s">
        <v>31</v>
      </c>
      <c r="V24" s="25" t="s">
        <v>32</v>
      </c>
      <c r="W24" s="24" t="s">
        <v>44</v>
      </c>
      <c r="X24" s="26" t="s">
        <v>125</v>
      </c>
      <c r="Y24" s="24" t="s">
        <v>40</v>
      </c>
      <c r="Z24" s="24" t="s">
        <v>36</v>
      </c>
    </row>
    <row r="25" spans="1:29" ht="61.5" customHeight="1" x14ac:dyDescent="0.35">
      <c r="A25" s="60"/>
      <c r="B25" s="73"/>
      <c r="C25" s="74"/>
      <c r="D25" s="35"/>
      <c r="E25" s="16">
        <v>23</v>
      </c>
      <c r="F25" s="31" t="s">
        <v>126</v>
      </c>
      <c r="G25" s="36">
        <v>1</v>
      </c>
      <c r="H25" s="75" t="s">
        <v>127</v>
      </c>
      <c r="I25" s="50">
        <f>(0.4979/1)*100%</f>
        <v>0.49790000000000001</v>
      </c>
      <c r="J25" s="76"/>
      <c r="K25" s="23"/>
      <c r="L25" s="23"/>
      <c r="M25" s="76"/>
      <c r="N25" s="23"/>
      <c r="O25" s="23"/>
      <c r="P25" s="76"/>
      <c r="Q25" s="23"/>
      <c r="R25" s="23"/>
      <c r="S25" s="76"/>
      <c r="T25" s="23"/>
      <c r="U25" s="25" t="s">
        <v>31</v>
      </c>
      <c r="V25" s="25" t="s">
        <v>32</v>
      </c>
      <c r="W25" s="24" t="s">
        <v>33</v>
      </c>
      <c r="X25" s="26" t="s">
        <v>128</v>
      </c>
      <c r="Y25" s="24" t="s">
        <v>40</v>
      </c>
      <c r="Z25" s="24" t="s">
        <v>36</v>
      </c>
    </row>
    <row r="26" spans="1:29" ht="26" x14ac:dyDescent="0.35">
      <c r="A26" s="60"/>
      <c r="B26" s="73"/>
      <c r="C26" s="74"/>
      <c r="D26" s="35"/>
      <c r="E26" s="16">
        <v>24</v>
      </c>
      <c r="F26" s="31" t="s">
        <v>129</v>
      </c>
      <c r="G26" s="36">
        <v>1</v>
      </c>
      <c r="H26" s="75" t="s">
        <v>130</v>
      </c>
      <c r="I26" s="50">
        <f>(2046/2071)*100%</f>
        <v>0.98792853693867699</v>
      </c>
      <c r="J26" s="76"/>
      <c r="K26" s="23"/>
      <c r="L26" s="23"/>
      <c r="M26" s="76"/>
      <c r="N26" s="23"/>
      <c r="O26" s="23"/>
      <c r="P26" s="76"/>
      <c r="Q26" s="23"/>
      <c r="R26" s="23"/>
      <c r="S26" s="76"/>
      <c r="T26" s="71"/>
      <c r="U26" s="25" t="s">
        <v>31</v>
      </c>
      <c r="V26" s="25" t="s">
        <v>32</v>
      </c>
      <c r="W26" s="24" t="s">
        <v>44</v>
      </c>
      <c r="X26" s="26" t="s">
        <v>131</v>
      </c>
      <c r="Y26" s="24" t="s">
        <v>40</v>
      </c>
      <c r="Z26" s="24" t="s">
        <v>36</v>
      </c>
    </row>
    <row r="27" spans="1:29" ht="39" x14ac:dyDescent="0.35">
      <c r="A27" s="60"/>
      <c r="B27" s="73"/>
      <c r="C27" s="74"/>
      <c r="D27" s="35"/>
      <c r="E27" s="16">
        <v>25</v>
      </c>
      <c r="F27" s="31" t="s">
        <v>132</v>
      </c>
      <c r="G27" s="36">
        <v>1</v>
      </c>
      <c r="H27" s="75" t="s">
        <v>133</v>
      </c>
      <c r="I27" s="50">
        <f>(300/300)*100%</f>
        <v>1</v>
      </c>
      <c r="J27" s="58"/>
      <c r="K27" s="23"/>
      <c r="L27" s="23"/>
      <c r="M27" s="58"/>
      <c r="N27" s="23"/>
      <c r="O27" s="23"/>
      <c r="P27" s="58"/>
      <c r="Q27" s="23"/>
      <c r="R27" s="23"/>
      <c r="S27" s="58"/>
      <c r="T27" s="23"/>
      <c r="U27" s="25" t="s">
        <v>31</v>
      </c>
      <c r="V27" s="25" t="s">
        <v>32</v>
      </c>
      <c r="W27" s="24" t="s">
        <v>44</v>
      </c>
      <c r="X27" s="26" t="s">
        <v>134</v>
      </c>
      <c r="Y27" s="24" t="s">
        <v>40</v>
      </c>
      <c r="Z27" s="24" t="s">
        <v>36</v>
      </c>
    </row>
    <row r="28" spans="1:29" ht="54" customHeight="1" x14ac:dyDescent="0.35">
      <c r="A28" s="60" t="s">
        <v>25</v>
      </c>
      <c r="B28" s="73"/>
      <c r="C28" s="74" t="s">
        <v>135</v>
      </c>
      <c r="D28" s="35" t="s">
        <v>136</v>
      </c>
      <c r="E28" s="16">
        <v>26</v>
      </c>
      <c r="F28" s="31" t="s">
        <v>137</v>
      </c>
      <c r="G28" s="36">
        <v>1</v>
      </c>
      <c r="H28" s="67" t="s">
        <v>138</v>
      </c>
      <c r="I28" s="67">
        <f>(3/3)*100%</f>
        <v>1</v>
      </c>
      <c r="J28" s="77">
        <f>IFERROR(AVERAGE(I28:I32), )</f>
        <v>0.76979351032448373</v>
      </c>
      <c r="K28" s="67"/>
      <c r="L28" s="67"/>
      <c r="M28" s="77">
        <f>IFERROR(AVERAGE(L28:L32), )</f>
        <v>0</v>
      </c>
      <c r="N28" s="67"/>
      <c r="O28" s="67"/>
      <c r="P28" s="77">
        <f>IFERROR(AVERAGE(O28:O32), )</f>
        <v>0</v>
      </c>
      <c r="Q28" s="67"/>
      <c r="R28" s="67"/>
      <c r="S28" s="77">
        <f>IFERROR(AVERAGE(R28:R32), )</f>
        <v>0</v>
      </c>
      <c r="T28" s="68"/>
      <c r="U28" s="78" t="s">
        <v>31</v>
      </c>
      <c r="V28" s="79" t="s">
        <v>32</v>
      </c>
      <c r="W28" s="79" t="s">
        <v>44</v>
      </c>
      <c r="X28" s="38" t="s">
        <v>139</v>
      </c>
      <c r="Y28" s="79" t="s">
        <v>40</v>
      </c>
      <c r="Z28" s="79" t="s">
        <v>36</v>
      </c>
    </row>
    <row r="29" spans="1:29" ht="39" x14ac:dyDescent="0.35">
      <c r="A29" s="60"/>
      <c r="B29" s="73"/>
      <c r="C29" s="74"/>
      <c r="D29" s="35"/>
      <c r="E29" s="16">
        <v>27</v>
      </c>
      <c r="F29" s="31" t="s">
        <v>140</v>
      </c>
      <c r="G29" s="36">
        <v>1</v>
      </c>
      <c r="H29" s="67" t="s">
        <v>106</v>
      </c>
      <c r="I29" s="67">
        <f>(1/1)*100%</f>
        <v>1</v>
      </c>
      <c r="J29" s="80"/>
      <c r="K29" s="67"/>
      <c r="L29" s="67"/>
      <c r="M29" s="80"/>
      <c r="N29" s="67"/>
      <c r="O29" s="67"/>
      <c r="P29" s="80"/>
      <c r="Q29" s="67"/>
      <c r="R29" s="67"/>
      <c r="S29" s="80"/>
      <c r="T29" s="68"/>
      <c r="U29" s="78" t="s">
        <v>31</v>
      </c>
      <c r="V29" s="79" t="s">
        <v>32</v>
      </c>
      <c r="W29" s="79" t="s">
        <v>33</v>
      </c>
      <c r="X29" s="38" t="s">
        <v>141</v>
      </c>
      <c r="Y29" s="79" t="s">
        <v>40</v>
      </c>
      <c r="Z29" s="79" t="s">
        <v>36</v>
      </c>
    </row>
    <row r="30" spans="1:29" ht="39" x14ac:dyDescent="0.35">
      <c r="A30" s="60"/>
      <c r="B30" s="73"/>
      <c r="C30" s="74"/>
      <c r="D30" s="35"/>
      <c r="E30" s="16">
        <v>28</v>
      </c>
      <c r="F30" s="31" t="s">
        <v>142</v>
      </c>
      <c r="G30" s="36">
        <v>1</v>
      </c>
      <c r="H30" s="67" t="s">
        <v>143</v>
      </c>
      <c r="I30" s="67">
        <f>(24/24)*100%</f>
        <v>1</v>
      </c>
      <c r="J30" s="80"/>
      <c r="K30" s="67"/>
      <c r="L30" s="67"/>
      <c r="M30" s="80"/>
      <c r="N30" s="67"/>
      <c r="O30" s="67"/>
      <c r="P30" s="80"/>
      <c r="Q30" s="67"/>
      <c r="R30" s="67"/>
      <c r="S30" s="80"/>
      <c r="T30" s="68"/>
      <c r="U30" s="78" t="s">
        <v>31</v>
      </c>
      <c r="V30" s="79" t="s">
        <v>32</v>
      </c>
      <c r="W30" s="79" t="s">
        <v>44</v>
      </c>
      <c r="X30" s="38" t="s">
        <v>144</v>
      </c>
      <c r="Y30" s="79" t="s">
        <v>40</v>
      </c>
      <c r="Z30" s="79" t="s">
        <v>36</v>
      </c>
    </row>
    <row r="31" spans="1:29" s="82" customFormat="1" ht="65" customHeight="1" x14ac:dyDescent="0.35">
      <c r="A31" s="60"/>
      <c r="B31" s="73"/>
      <c r="C31" s="74"/>
      <c r="D31" s="35"/>
      <c r="E31" s="16">
        <v>29</v>
      </c>
      <c r="F31" s="31" t="s">
        <v>145</v>
      </c>
      <c r="G31" s="81">
        <v>1</v>
      </c>
      <c r="H31" s="75" t="s">
        <v>146</v>
      </c>
      <c r="I31" s="67">
        <f>(220/339)*100%</f>
        <v>0.64896755162241893</v>
      </c>
      <c r="J31" s="80"/>
      <c r="K31" s="67"/>
      <c r="L31" s="67"/>
      <c r="M31" s="80"/>
      <c r="N31" s="67"/>
      <c r="O31" s="67"/>
      <c r="P31" s="80"/>
      <c r="Q31" s="67"/>
      <c r="R31" s="67"/>
      <c r="S31" s="80"/>
      <c r="T31" s="68"/>
      <c r="U31" s="78" t="s">
        <v>31</v>
      </c>
      <c r="V31" s="79" t="s">
        <v>32</v>
      </c>
      <c r="W31" s="79" t="s">
        <v>44</v>
      </c>
      <c r="X31" s="38" t="s">
        <v>147</v>
      </c>
      <c r="Y31" s="79" t="s">
        <v>35</v>
      </c>
      <c r="Z31" s="79" t="s">
        <v>36</v>
      </c>
    </row>
    <row r="32" spans="1:29" ht="69" customHeight="1" x14ac:dyDescent="0.35">
      <c r="A32" s="60"/>
      <c r="B32" s="73"/>
      <c r="C32" s="74"/>
      <c r="D32" s="35"/>
      <c r="E32" s="16">
        <v>30</v>
      </c>
      <c r="F32" s="31" t="s">
        <v>148</v>
      </c>
      <c r="G32" s="36">
        <v>0.93700000000000006</v>
      </c>
      <c r="H32" s="67" t="s">
        <v>149</v>
      </c>
      <c r="I32" s="67">
        <f>(2/10)*100%</f>
        <v>0.2</v>
      </c>
      <c r="J32" s="83"/>
      <c r="K32" s="67"/>
      <c r="L32" s="67"/>
      <c r="M32" s="83"/>
      <c r="N32" s="67"/>
      <c r="O32" s="67"/>
      <c r="P32" s="83"/>
      <c r="Q32" s="67"/>
      <c r="R32" s="67"/>
      <c r="S32" s="83"/>
      <c r="T32" s="68"/>
      <c r="U32" s="78" t="s">
        <v>31</v>
      </c>
      <c r="V32" s="79" t="s">
        <v>32</v>
      </c>
      <c r="W32" s="79" t="s">
        <v>44</v>
      </c>
      <c r="X32" s="38" t="s">
        <v>150</v>
      </c>
      <c r="Y32" s="79" t="s">
        <v>40</v>
      </c>
      <c r="Z32" s="79" t="s">
        <v>36</v>
      </c>
    </row>
    <row r="33" spans="1:26" ht="51" customHeight="1" x14ac:dyDescent="0.35">
      <c r="A33" s="60"/>
      <c r="B33" s="73"/>
      <c r="C33" s="84" t="s">
        <v>151</v>
      </c>
      <c r="D33" s="35" t="s">
        <v>56</v>
      </c>
      <c r="E33" s="16">
        <v>31</v>
      </c>
      <c r="F33" s="31" t="s">
        <v>152</v>
      </c>
      <c r="G33" s="36">
        <v>1</v>
      </c>
      <c r="H33" s="85" t="s">
        <v>153</v>
      </c>
      <c r="I33" s="85">
        <f>(33%/100)*100</f>
        <v>0.33</v>
      </c>
      <c r="J33" s="86">
        <f>IFERROR(AVERAGE(I33:I34), )</f>
        <v>0.53038461538461534</v>
      </c>
      <c r="K33" s="87"/>
      <c r="L33" s="87"/>
      <c r="M33" s="86">
        <f>IFERROR(AVERAGE(L33:L34), )</f>
        <v>0</v>
      </c>
      <c r="N33" s="87"/>
      <c r="O33" s="87"/>
      <c r="P33" s="86">
        <f>IFERROR(AVERAGE(O33:O34), )</f>
        <v>0</v>
      </c>
      <c r="Q33" s="87"/>
      <c r="R33" s="87"/>
      <c r="S33" s="86">
        <f>IFERROR(AVERAGE(R33:R34), )</f>
        <v>0</v>
      </c>
      <c r="T33" s="88" t="s">
        <v>154</v>
      </c>
      <c r="U33" s="78" t="s">
        <v>31</v>
      </c>
      <c r="V33" s="79" t="s">
        <v>32</v>
      </c>
      <c r="W33" s="24" t="s">
        <v>33</v>
      </c>
      <c r="X33" s="26" t="s">
        <v>155</v>
      </c>
      <c r="Y33" s="24" t="s">
        <v>40</v>
      </c>
      <c r="Z33" s="79" t="s">
        <v>36</v>
      </c>
    </row>
    <row r="34" spans="1:26" ht="51" customHeight="1" x14ac:dyDescent="0.35">
      <c r="A34" s="60"/>
      <c r="B34" s="73"/>
      <c r="C34" s="89"/>
      <c r="D34" s="35"/>
      <c r="E34" s="16">
        <v>32</v>
      </c>
      <c r="F34" s="31" t="s">
        <v>156</v>
      </c>
      <c r="G34" s="36">
        <v>1</v>
      </c>
      <c r="H34" s="29" t="s">
        <v>157</v>
      </c>
      <c r="I34" s="29">
        <f>(38/52)*100%</f>
        <v>0.73076923076923073</v>
      </c>
      <c r="J34" s="90"/>
      <c r="K34" s="87"/>
      <c r="L34" s="87"/>
      <c r="M34" s="90"/>
      <c r="N34" s="87"/>
      <c r="O34" s="87"/>
      <c r="P34" s="90"/>
      <c r="Q34" s="87"/>
      <c r="R34" s="87"/>
      <c r="S34" s="90"/>
      <c r="T34" s="29"/>
      <c r="U34" s="78" t="s">
        <v>31</v>
      </c>
      <c r="V34" s="79" t="s">
        <v>32</v>
      </c>
      <c r="W34" s="24" t="s">
        <v>33</v>
      </c>
      <c r="X34" s="26" t="s">
        <v>158</v>
      </c>
      <c r="Y34" s="24" t="s">
        <v>40</v>
      </c>
      <c r="Z34" s="79" t="s">
        <v>36</v>
      </c>
    </row>
    <row r="35" spans="1:26" ht="72.5" customHeight="1" x14ac:dyDescent="0.35">
      <c r="A35" s="60"/>
      <c r="B35" s="73"/>
      <c r="C35" s="84" t="s">
        <v>159</v>
      </c>
      <c r="D35" s="35"/>
      <c r="E35" s="16">
        <v>33</v>
      </c>
      <c r="F35" s="31" t="s">
        <v>160</v>
      </c>
      <c r="G35" s="36">
        <v>1</v>
      </c>
      <c r="H35" s="29" t="s">
        <v>84</v>
      </c>
      <c r="I35" s="29" t="s">
        <v>32</v>
      </c>
      <c r="J35" s="37">
        <f>IFERROR(AVERAGE(I35:I36), )</f>
        <v>0.28399999999999997</v>
      </c>
      <c r="K35" s="87"/>
      <c r="L35" s="87"/>
      <c r="M35" s="37">
        <f>IFERROR(AVERAGE(L35:L36), )</f>
        <v>0</v>
      </c>
      <c r="N35" s="87"/>
      <c r="O35" s="87"/>
      <c r="P35" s="37">
        <f>IFERROR(AVERAGE(O35:O36), )</f>
        <v>0</v>
      </c>
      <c r="Q35" s="87"/>
      <c r="R35" s="87"/>
      <c r="S35" s="37">
        <f>IFERROR(AVERAGE(R35:R36), )</f>
        <v>0</v>
      </c>
      <c r="T35" s="29" t="s">
        <v>161</v>
      </c>
      <c r="U35" s="78" t="s">
        <v>31</v>
      </c>
      <c r="V35" s="79" t="s">
        <v>32</v>
      </c>
      <c r="W35" s="79" t="s">
        <v>44</v>
      </c>
      <c r="X35" s="26" t="s">
        <v>162</v>
      </c>
      <c r="Y35" s="91" t="s">
        <v>40</v>
      </c>
      <c r="Z35" s="91" t="s">
        <v>36</v>
      </c>
    </row>
    <row r="36" spans="1:26" ht="72.5" customHeight="1" x14ac:dyDescent="0.35">
      <c r="A36" s="60"/>
      <c r="B36" s="73"/>
      <c r="C36" s="89"/>
      <c r="D36" s="35"/>
      <c r="E36" s="16">
        <v>34</v>
      </c>
      <c r="F36" s="31" t="s">
        <v>163</v>
      </c>
      <c r="G36" s="36">
        <v>1</v>
      </c>
      <c r="H36" s="29" t="s">
        <v>164</v>
      </c>
      <c r="I36" s="29">
        <f>(710% /25) *100%</f>
        <v>0.28399999999999997</v>
      </c>
      <c r="J36" s="46"/>
      <c r="K36" s="87"/>
      <c r="L36" s="87"/>
      <c r="M36" s="46"/>
      <c r="N36" s="87"/>
      <c r="O36" s="87"/>
      <c r="P36" s="46"/>
      <c r="Q36" s="87"/>
      <c r="R36" s="87"/>
      <c r="S36" s="46"/>
      <c r="T36" s="29"/>
      <c r="U36" s="78" t="s">
        <v>31</v>
      </c>
      <c r="V36" s="79" t="s">
        <v>32</v>
      </c>
      <c r="W36" s="24" t="s">
        <v>33</v>
      </c>
      <c r="X36" s="26" t="s">
        <v>165</v>
      </c>
      <c r="Y36" s="91" t="s">
        <v>40</v>
      </c>
      <c r="Z36" s="91" t="s">
        <v>36</v>
      </c>
    </row>
    <row r="37" spans="1:26" ht="48" customHeight="1" x14ac:dyDescent="0.35">
      <c r="A37" s="60"/>
      <c r="B37" s="73"/>
      <c r="C37" s="74" t="s">
        <v>166</v>
      </c>
      <c r="D37" s="35"/>
      <c r="E37" s="16">
        <v>35</v>
      </c>
      <c r="F37" s="31" t="s">
        <v>167</v>
      </c>
      <c r="G37" s="36">
        <v>1</v>
      </c>
      <c r="H37" s="92" t="s">
        <v>168</v>
      </c>
      <c r="I37" s="93">
        <f>(22876798368/38865190000)*100%</f>
        <v>0.58861923402407146</v>
      </c>
      <c r="J37" s="94">
        <f>IFERROR(AVERAGE(I37:I39), )</f>
        <v>0.61453974467469052</v>
      </c>
      <c r="K37" s="87"/>
      <c r="L37" s="87"/>
      <c r="M37" s="94">
        <f>IFERROR(AVERAGE(L37:L39), )</f>
        <v>0</v>
      </c>
      <c r="N37" s="87"/>
      <c r="O37" s="87"/>
      <c r="P37" s="94">
        <f>IFERROR(AVERAGE(O37:O39), )</f>
        <v>0</v>
      </c>
      <c r="Q37" s="87"/>
      <c r="R37" s="87"/>
      <c r="S37" s="94">
        <f>IFERROR(AVERAGE(R37:R39), )</f>
        <v>0</v>
      </c>
      <c r="T37" s="29"/>
      <c r="U37" s="25" t="s">
        <v>31</v>
      </c>
      <c r="V37" s="25" t="s">
        <v>32</v>
      </c>
      <c r="W37" s="24" t="s">
        <v>33</v>
      </c>
      <c r="X37" s="26" t="s">
        <v>169</v>
      </c>
      <c r="Y37" s="24" t="s">
        <v>35</v>
      </c>
      <c r="Z37" s="24" t="s">
        <v>36</v>
      </c>
    </row>
    <row r="38" spans="1:26" ht="98" customHeight="1" x14ac:dyDescent="0.35">
      <c r="A38" s="60"/>
      <c r="B38" s="73"/>
      <c r="C38" s="74"/>
      <c r="D38" s="35"/>
      <c r="E38" s="16">
        <v>36</v>
      </c>
      <c r="F38" s="31" t="s">
        <v>170</v>
      </c>
      <c r="G38" s="36">
        <v>1</v>
      </c>
      <c r="H38" s="29" t="s">
        <v>171</v>
      </c>
      <c r="I38" s="29">
        <f>(10%+3.5%+3.5%+3.5%+5%)/(40%+15%+15%+15%+15%)</f>
        <v>0.255</v>
      </c>
      <c r="J38" s="95"/>
      <c r="K38" s="29"/>
      <c r="L38" s="29"/>
      <c r="M38" s="95"/>
      <c r="N38" s="29"/>
      <c r="O38" s="29"/>
      <c r="P38" s="95"/>
      <c r="Q38" s="29"/>
      <c r="R38" s="29"/>
      <c r="S38" s="95"/>
      <c r="T38" s="96" t="s">
        <v>172</v>
      </c>
      <c r="U38" s="25" t="s">
        <v>31</v>
      </c>
      <c r="V38" s="25" t="s">
        <v>32</v>
      </c>
      <c r="W38" s="24" t="s">
        <v>33</v>
      </c>
      <c r="X38" s="26" t="s">
        <v>173</v>
      </c>
      <c r="Y38" s="91" t="s">
        <v>40</v>
      </c>
      <c r="Z38" s="91" t="s">
        <v>36</v>
      </c>
    </row>
    <row r="39" spans="1:26" ht="85.5" customHeight="1" x14ac:dyDescent="0.35">
      <c r="A39" s="60"/>
      <c r="B39" s="73"/>
      <c r="C39" s="74"/>
      <c r="D39" s="35"/>
      <c r="E39" s="16">
        <v>37</v>
      </c>
      <c r="F39" s="31" t="s">
        <v>174</v>
      </c>
      <c r="G39" s="36">
        <v>1</v>
      </c>
      <c r="H39" s="29" t="s">
        <v>175</v>
      </c>
      <c r="I39" s="29">
        <f>(150/150)*100%</f>
        <v>1</v>
      </c>
      <c r="J39" s="97"/>
      <c r="K39" s="29"/>
      <c r="L39" s="29"/>
      <c r="M39" s="97"/>
      <c r="N39" s="29"/>
      <c r="O39" s="29"/>
      <c r="P39" s="97"/>
      <c r="Q39" s="29"/>
      <c r="R39" s="29"/>
      <c r="S39" s="97"/>
      <c r="T39" s="71"/>
      <c r="U39" s="25" t="s">
        <v>31</v>
      </c>
      <c r="V39" s="25" t="s">
        <v>32</v>
      </c>
      <c r="W39" s="25" t="s">
        <v>44</v>
      </c>
      <c r="X39" s="26" t="s">
        <v>176</v>
      </c>
      <c r="Y39" s="91" t="s">
        <v>40</v>
      </c>
      <c r="Z39" s="91" t="s">
        <v>36</v>
      </c>
    </row>
    <row r="40" spans="1:26" ht="69" customHeight="1" x14ac:dyDescent="0.35">
      <c r="A40" s="60" t="s">
        <v>25</v>
      </c>
      <c r="B40" s="98" t="s">
        <v>177</v>
      </c>
      <c r="C40" s="99" t="s">
        <v>178</v>
      </c>
      <c r="D40" s="24" t="s">
        <v>179</v>
      </c>
      <c r="E40" s="16">
        <v>38</v>
      </c>
      <c r="F40" s="31" t="s">
        <v>180</v>
      </c>
      <c r="G40" s="36">
        <v>1</v>
      </c>
      <c r="H40" s="19" t="s">
        <v>181</v>
      </c>
      <c r="I40" s="20">
        <f>(17/17)*100%</f>
        <v>1</v>
      </c>
      <c r="J40" s="20">
        <f>IFERROR(AVERAGE(I40), )</f>
        <v>1</v>
      </c>
      <c r="K40" s="29"/>
      <c r="L40" s="29"/>
      <c r="M40" s="20">
        <f>IFERROR(AVERAGE(L40), )</f>
        <v>0</v>
      </c>
      <c r="N40" s="29"/>
      <c r="O40" s="29"/>
      <c r="P40" s="20">
        <f>IFERROR(AVERAGE(O40), )</f>
        <v>0</v>
      </c>
      <c r="Q40" s="29"/>
      <c r="R40" s="29"/>
      <c r="S40" s="20">
        <f>IFERROR(AVERAGE(R40), )</f>
        <v>0</v>
      </c>
      <c r="T40" s="23"/>
      <c r="U40" s="25" t="s">
        <v>31</v>
      </c>
      <c r="V40" s="25">
        <v>1</v>
      </c>
      <c r="W40" s="25" t="s">
        <v>44</v>
      </c>
      <c r="X40" s="26" t="s">
        <v>182</v>
      </c>
      <c r="Y40" s="24" t="s">
        <v>40</v>
      </c>
      <c r="Z40" s="24" t="s">
        <v>86</v>
      </c>
    </row>
    <row r="41" spans="1:26" ht="71.25" customHeight="1" x14ac:dyDescent="0.35">
      <c r="A41" s="60"/>
      <c r="B41" s="98"/>
      <c r="C41" s="99" t="s">
        <v>183</v>
      </c>
      <c r="D41" s="24" t="s">
        <v>184</v>
      </c>
      <c r="E41" s="16">
        <v>39</v>
      </c>
      <c r="F41" s="31" t="s">
        <v>185</v>
      </c>
      <c r="G41" s="36">
        <v>1</v>
      </c>
      <c r="H41" s="19" t="s">
        <v>186</v>
      </c>
      <c r="I41" s="20">
        <f>(8/8)*100%</f>
        <v>1</v>
      </c>
      <c r="J41" s="20">
        <f>IFERROR(AVERAGE(I41), )</f>
        <v>1</v>
      </c>
      <c r="K41" s="23"/>
      <c r="L41" s="23"/>
      <c r="M41" s="20">
        <f>IFERROR(AVERAGE(L41), )</f>
        <v>0</v>
      </c>
      <c r="N41" s="23"/>
      <c r="O41" s="23"/>
      <c r="P41" s="20">
        <f>IFERROR(AVERAGE(O41), )</f>
        <v>0</v>
      </c>
      <c r="Q41" s="23"/>
      <c r="R41" s="23"/>
      <c r="S41" s="20">
        <f>IFERROR(AVERAGE(R41), )</f>
        <v>0</v>
      </c>
      <c r="T41" s="23"/>
      <c r="U41" s="24" t="s">
        <v>31</v>
      </c>
      <c r="V41" s="25" t="s">
        <v>32</v>
      </c>
      <c r="W41" s="24" t="s">
        <v>44</v>
      </c>
      <c r="X41" s="26" t="s">
        <v>187</v>
      </c>
      <c r="Y41" s="24" t="s">
        <v>40</v>
      </c>
      <c r="Z41" s="24" t="s">
        <v>36</v>
      </c>
    </row>
    <row r="42" spans="1:26" ht="71.25" customHeight="1" x14ac:dyDescent="0.35">
      <c r="A42" s="60"/>
      <c r="B42" s="98"/>
      <c r="C42" s="100" t="s">
        <v>188</v>
      </c>
      <c r="D42" s="24" t="s">
        <v>56</v>
      </c>
      <c r="E42" s="16">
        <v>40</v>
      </c>
      <c r="F42" s="31" t="s">
        <v>189</v>
      </c>
      <c r="G42" s="36">
        <v>1</v>
      </c>
      <c r="H42" s="45" t="s">
        <v>190</v>
      </c>
      <c r="I42" s="29">
        <f>(3/3)*100%</f>
        <v>1</v>
      </c>
      <c r="J42" s="101">
        <f>IFERROR(AVERAGE(I42:I42), )</f>
        <v>1</v>
      </c>
      <c r="K42" s="23"/>
      <c r="L42" s="23"/>
      <c r="M42" s="101">
        <f>IFERROR(AVERAGE(L42:L42), )</f>
        <v>0</v>
      </c>
      <c r="N42" s="23"/>
      <c r="O42" s="23"/>
      <c r="P42" s="101">
        <f>IFERROR(AVERAGE(O42:O42), )</f>
        <v>0</v>
      </c>
      <c r="Q42" s="23"/>
      <c r="R42" s="23"/>
      <c r="S42" s="101">
        <f>IFERROR(AVERAGE(R42:R42), )</f>
        <v>0</v>
      </c>
      <c r="T42" s="23" t="s">
        <v>191</v>
      </c>
      <c r="U42" s="24" t="s">
        <v>31</v>
      </c>
      <c r="V42" s="25" t="s">
        <v>32</v>
      </c>
      <c r="W42" s="24" t="s">
        <v>33</v>
      </c>
      <c r="X42" s="26" t="s">
        <v>192</v>
      </c>
      <c r="Y42" s="24" t="s">
        <v>40</v>
      </c>
      <c r="Z42" s="24" t="s">
        <v>193</v>
      </c>
    </row>
    <row r="43" spans="1:26" ht="71.25" customHeight="1" x14ac:dyDescent="0.35">
      <c r="A43" s="102"/>
      <c r="B43" s="102"/>
      <c r="C43" s="102"/>
      <c r="D43" s="102"/>
      <c r="E43" s="102"/>
      <c r="F43" s="102"/>
      <c r="G43" s="36" t="s">
        <v>194</v>
      </c>
      <c r="H43" s="102"/>
      <c r="I43" s="29">
        <f>IFERROR(AVERAGE(I3:I42), )</f>
        <v>0.7098734643912552</v>
      </c>
      <c r="J43" s="29">
        <f>IFERROR(AVERAGE(J3:J42), )</f>
        <v>0.68115173982755828</v>
      </c>
      <c r="K43" s="102"/>
      <c r="L43" s="29">
        <f>IFERROR(AVERAGE(L3:L42), )</f>
        <v>0</v>
      </c>
      <c r="M43" s="29">
        <f>IFERROR(AVERAGE(M3:M42), )</f>
        <v>0</v>
      </c>
      <c r="N43" s="102"/>
      <c r="O43" s="29">
        <f>IFERROR(AVERAGE(O3:O42), )</f>
        <v>0</v>
      </c>
      <c r="P43" s="29">
        <f>IFERROR(AVERAGE(P3:P42), )</f>
        <v>0</v>
      </c>
      <c r="Q43" s="102"/>
      <c r="R43" s="29">
        <f>IFERROR(AVERAGE(R3:R42), )</f>
        <v>0</v>
      </c>
      <c r="S43" s="29">
        <f>IFERROR(AVERAGE(S3:S42), )</f>
        <v>0</v>
      </c>
      <c r="T43" s="102"/>
      <c r="U43" s="103"/>
      <c r="V43" s="104"/>
      <c r="W43" s="103"/>
      <c r="X43" s="105"/>
      <c r="Y43" s="103"/>
      <c r="Z43" s="103"/>
    </row>
    <row r="44" spans="1:26" x14ac:dyDescent="0.35">
      <c r="A44" s="106" t="s">
        <v>195</v>
      </c>
      <c r="B44" s="7" t="s">
        <v>196</v>
      </c>
      <c r="E44" s="109"/>
      <c r="Z44" s="116" t="s">
        <v>197</v>
      </c>
    </row>
    <row r="45" spans="1:26" x14ac:dyDescent="0.35">
      <c r="A45" s="106" t="s">
        <v>198</v>
      </c>
      <c r="B45" s="117" t="s">
        <v>199</v>
      </c>
    </row>
    <row r="46" spans="1:26" x14ac:dyDescent="0.35">
      <c r="A46" s="106" t="s">
        <v>200</v>
      </c>
      <c r="B46" s="7" t="s">
        <v>201</v>
      </c>
    </row>
  </sheetData>
  <mergeCells count="82">
    <mergeCell ref="A40:A42"/>
    <mergeCell ref="B40:B42"/>
    <mergeCell ref="S35:S36"/>
    <mergeCell ref="C37:C39"/>
    <mergeCell ref="J37:J39"/>
    <mergeCell ref="M37:M39"/>
    <mergeCell ref="P37:P39"/>
    <mergeCell ref="S37:S39"/>
    <mergeCell ref="C33:C34"/>
    <mergeCell ref="D33:D39"/>
    <mergeCell ref="J33:J34"/>
    <mergeCell ref="M33:M34"/>
    <mergeCell ref="P33:P34"/>
    <mergeCell ref="S33:S34"/>
    <mergeCell ref="C35:C36"/>
    <mergeCell ref="J35:J36"/>
    <mergeCell ref="M35:M36"/>
    <mergeCell ref="P35:P36"/>
    <mergeCell ref="C28:C32"/>
    <mergeCell ref="D28:D32"/>
    <mergeCell ref="J28:J32"/>
    <mergeCell ref="M28:M32"/>
    <mergeCell ref="P28:P32"/>
    <mergeCell ref="S28:S32"/>
    <mergeCell ref="S22:S23"/>
    <mergeCell ref="A24:A27"/>
    <mergeCell ref="B24:B39"/>
    <mergeCell ref="C24:C27"/>
    <mergeCell ref="D24:D27"/>
    <mergeCell ref="J24:J27"/>
    <mergeCell ref="M24:M27"/>
    <mergeCell ref="P24:P27"/>
    <mergeCell ref="S24:S27"/>
    <mergeCell ref="A28:A39"/>
    <mergeCell ref="A22:A23"/>
    <mergeCell ref="C22:C23"/>
    <mergeCell ref="D22:D23"/>
    <mergeCell ref="J22:J23"/>
    <mergeCell ref="M22:M23"/>
    <mergeCell ref="P22:P23"/>
    <mergeCell ref="D15:D21"/>
    <mergeCell ref="J15:J21"/>
    <mergeCell ref="M15:M21"/>
    <mergeCell ref="P15:P21"/>
    <mergeCell ref="S15:S21"/>
    <mergeCell ref="A16:A21"/>
    <mergeCell ref="S11:S12"/>
    <mergeCell ref="A13:A14"/>
    <mergeCell ref="B13:B23"/>
    <mergeCell ref="C13:C14"/>
    <mergeCell ref="D13:D14"/>
    <mergeCell ref="J13:J14"/>
    <mergeCell ref="M13:M14"/>
    <mergeCell ref="P13:P14"/>
    <mergeCell ref="S13:S14"/>
    <mergeCell ref="C15:C21"/>
    <mergeCell ref="A11:A12"/>
    <mergeCell ref="C11:C12"/>
    <mergeCell ref="D11:D12"/>
    <mergeCell ref="J11:J12"/>
    <mergeCell ref="M11:M12"/>
    <mergeCell ref="P11:P12"/>
    <mergeCell ref="M3:M7"/>
    <mergeCell ref="P3:P7"/>
    <mergeCell ref="S3:S7"/>
    <mergeCell ref="A5:A10"/>
    <mergeCell ref="C8:C10"/>
    <mergeCell ref="D8:D10"/>
    <mergeCell ref="J8:J10"/>
    <mergeCell ref="M8:M10"/>
    <mergeCell ref="P8:P10"/>
    <mergeCell ref="S8:S10"/>
    <mergeCell ref="A1:F1"/>
    <mergeCell ref="G1:G2"/>
    <mergeCell ref="H1:T1"/>
    <mergeCell ref="U1:Z1"/>
    <mergeCell ref="B2:C2"/>
    <mergeCell ref="A3:A4"/>
    <mergeCell ref="B3:B12"/>
    <mergeCell ref="C3:C7"/>
    <mergeCell ref="D3:D6"/>
    <mergeCell ref="J3:J7"/>
  </mergeCells>
  <printOptions horizontalCentered="1"/>
  <pageMargins left="0.39370078740157483" right="0.39370078740157483" top="0.39370078740157483" bottom="0.39370078740157483" header="0" footer="0"/>
  <pageSetup scale="46" orientation="portrait" r:id="rId1"/>
  <headerFooter>
    <oddHeader xml:space="preserve">&amp;C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Cuadro de Mando 2022 Seg</vt:lpstr>
      <vt:lpstr>'Cuadro de Mando 2022 Seg'!Área_de_impresión</vt:lpstr>
      <vt:lpstr>'Cuadro de Mando 2022 Seg'!Títulos_a_imprimir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2022-06-22T19:53:30Z</dcterms:created>
  <dcterms:modified xsi:type="dcterms:W3CDTF">2022-06-22T19:55:10Z</dcterms:modified>
</cp:coreProperties>
</file>